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10.21\"/>
    </mc:Choice>
  </mc:AlternateContent>
  <bookViews>
    <workbookView xWindow="0" yWindow="0" windowWidth="28800" windowHeight="12015"/>
  </bookViews>
  <sheets>
    <sheet name="2021" sheetId="22" r:id="rId1"/>
  </sheets>
  <definedNames>
    <definedName name="Print_Area" localSheetId="0">'2021'!$A$1:$Z$134</definedName>
    <definedName name="Print_Titles" localSheetId="0">'2021'!$3:$5</definedName>
    <definedName name="_xlnm.Print_Titles" localSheetId="0">'2021'!$3:$5</definedName>
    <definedName name="_xlnm.Print_Area" localSheetId="0">'2021'!$A$1:$Z$158</definedName>
  </definedNames>
  <calcPr calcId="152511"/>
</workbook>
</file>

<file path=xl/calcChain.xml><?xml version="1.0" encoding="utf-8"?>
<calcChain xmlns="http://schemas.openxmlformats.org/spreadsheetml/2006/main">
  <c r="F5" i="22" l="1"/>
  <c r="G5" i="22" s="1"/>
  <c r="H5" i="22" s="1"/>
  <c r="I5" i="22" s="1"/>
  <c r="J5" i="22" s="1"/>
  <c r="K5" i="22" s="1"/>
  <c r="L5" i="22" s="1"/>
  <c r="M5" i="22" s="1"/>
  <c r="N5" i="22" s="1"/>
  <c r="O5" i="22" s="1"/>
  <c r="Q79" i="22" l="1"/>
  <c r="O104" i="22"/>
  <c r="O79" i="22"/>
  <c r="O71" i="22"/>
  <c r="F73" i="22"/>
  <c r="T73" i="22"/>
  <c r="T63" i="22"/>
  <c r="T65" i="22"/>
  <c r="T48" i="22"/>
  <c r="E79" i="22" l="1"/>
  <c r="F63" i="22"/>
  <c r="F64" i="22"/>
  <c r="F65" i="22"/>
  <c r="F48" i="22"/>
  <c r="A63" i="22"/>
  <c r="A64" i="22" s="1"/>
  <c r="A65" i="22" s="1"/>
  <c r="A66" i="22" s="1"/>
  <c r="A50" i="22"/>
  <c r="A51" i="22"/>
  <c r="A52" i="22" s="1"/>
  <c r="A53" i="22" s="1"/>
  <c r="A54" i="22" s="1"/>
  <c r="A55" i="22" s="1"/>
  <c r="A56" i="22" s="1"/>
  <c r="A57" i="22" s="1"/>
  <c r="A58" i="22" s="1"/>
  <c r="A49" i="22"/>
  <c r="E25" i="22"/>
  <c r="E22" i="22"/>
  <c r="E21" i="22"/>
  <c r="E20" i="22"/>
  <c r="X66" i="22"/>
  <c r="X80" i="22" s="1"/>
  <c r="Y73" i="22"/>
  <c r="Y65" i="22"/>
  <c r="R65" i="22" l="1"/>
  <c r="U65" i="22"/>
  <c r="Y63" i="22"/>
  <c r="U63" i="22"/>
  <c r="P48" i="22"/>
  <c r="R48" i="22"/>
  <c r="Y48" i="22"/>
  <c r="S48" i="22"/>
  <c r="U48" i="22"/>
  <c r="V48" i="22"/>
  <c r="T97" i="22"/>
  <c r="T95" i="22"/>
  <c r="T94" i="22"/>
  <c r="T93" i="22"/>
  <c r="T92" i="22"/>
  <c r="T90" i="22"/>
  <c r="T89" i="22"/>
  <c r="T88" i="22"/>
  <c r="T87" i="22"/>
  <c r="T85" i="22"/>
  <c r="T46" i="22"/>
  <c r="T45" i="22"/>
  <c r="T44" i="22"/>
  <c r="T43" i="22"/>
  <c r="T42" i="22"/>
  <c r="T40" i="22"/>
  <c r="T39" i="22"/>
  <c r="T38" i="22"/>
  <c r="T37" i="22"/>
  <c r="T36" i="22"/>
  <c r="T35" i="22"/>
  <c r="T34" i="22"/>
  <c r="T32" i="22"/>
  <c r="T31" i="22"/>
  <c r="T30" i="22"/>
  <c r="T29" i="22"/>
  <c r="T28" i="22"/>
  <c r="T26" i="22"/>
  <c r="T25" i="22"/>
  <c r="T24" i="22"/>
  <c r="T23" i="22"/>
  <c r="T22" i="22"/>
  <c r="T19" i="22"/>
  <c r="T17" i="22"/>
  <c r="T16" i="22"/>
  <c r="T15" i="22"/>
  <c r="T12" i="22"/>
  <c r="T11" i="22"/>
  <c r="T8" i="22"/>
  <c r="T7" i="22"/>
  <c r="N110" i="22"/>
  <c r="N109" i="22"/>
  <c r="N91" i="22"/>
  <c r="N84" i="22"/>
  <c r="N98" i="22" s="1"/>
  <c r="N79" i="22"/>
  <c r="N77" i="22"/>
  <c r="N68" i="22"/>
  <c r="N67" i="22"/>
  <c r="N66" i="22" s="1"/>
  <c r="N80" i="22" s="1"/>
  <c r="N33" i="22"/>
  <c r="N18" i="22"/>
  <c r="N14" i="22"/>
  <c r="N9" i="22"/>
  <c r="N47" i="22" l="1"/>
  <c r="N108" i="22"/>
  <c r="N127" i="22"/>
  <c r="N116" i="22"/>
  <c r="N78" i="22"/>
  <c r="N75" i="22" s="1"/>
  <c r="N124" i="22" s="1"/>
  <c r="N126" i="22"/>
  <c r="N125" i="22" s="1"/>
  <c r="N100" i="22"/>
  <c r="N118" i="22" s="1"/>
  <c r="N120" i="22" s="1"/>
  <c r="N112" i="22"/>
  <c r="N114" i="22" s="1"/>
  <c r="F53" i="22"/>
  <c r="F54" i="22"/>
  <c r="F55" i="22"/>
  <c r="M110" i="22"/>
  <c r="M109" i="22"/>
  <c r="M91" i="22"/>
  <c r="M84" i="22"/>
  <c r="M98" i="22" s="1"/>
  <c r="M79" i="22"/>
  <c r="M77" i="22"/>
  <c r="M66" i="22"/>
  <c r="M80" i="22" s="1"/>
  <c r="M78" i="22" s="1"/>
  <c r="M33" i="22"/>
  <c r="M18" i="22"/>
  <c r="M14" i="22"/>
  <c r="M9" i="22"/>
  <c r="R54" i="22" l="1"/>
  <c r="Y54" i="22"/>
  <c r="S54" i="22"/>
  <c r="P54" i="22"/>
  <c r="Z54" i="22"/>
  <c r="R55" i="22"/>
  <c r="Z55" i="22"/>
  <c r="P55" i="22"/>
  <c r="Y55" i="22"/>
  <c r="S55" i="22"/>
  <c r="Y53" i="22"/>
  <c r="S53" i="22"/>
  <c r="Z53" i="22"/>
  <c r="P53" i="22"/>
  <c r="M108" i="22"/>
  <c r="M112" i="22" s="1"/>
  <c r="M114" i="22" s="1"/>
  <c r="M126" i="22"/>
  <c r="M127" i="22"/>
  <c r="M125" i="22"/>
  <c r="N129" i="22"/>
  <c r="N141" i="22" s="1"/>
  <c r="N82" i="22"/>
  <c r="N131" i="22" s="1"/>
  <c r="R53" i="22"/>
  <c r="M75" i="22"/>
  <c r="M47" i="22"/>
  <c r="M100" i="22"/>
  <c r="T105" i="22"/>
  <c r="T106" i="22"/>
  <c r="F106" i="22"/>
  <c r="F105" i="22"/>
  <c r="E104" i="22"/>
  <c r="Y105" i="22" l="1"/>
  <c r="S105" i="22"/>
  <c r="P105" i="22"/>
  <c r="V105" i="22"/>
  <c r="R106" i="22"/>
  <c r="P106" i="22"/>
  <c r="S106" i="22"/>
  <c r="V106" i="22"/>
  <c r="U106" i="22"/>
  <c r="M118" i="22"/>
  <c r="M120" i="22" s="1"/>
  <c r="M116" i="22"/>
  <c r="M82" i="22"/>
  <c r="M131" i="22" s="1"/>
  <c r="M124" i="22"/>
  <c r="U105" i="22"/>
  <c r="R105" i="22"/>
  <c r="Y106" i="22"/>
  <c r="E70" i="22"/>
  <c r="T53" i="22"/>
  <c r="T54" i="22"/>
  <c r="T55" i="22"/>
  <c r="U53" i="22" l="1"/>
  <c r="V53" i="22"/>
  <c r="U55" i="22"/>
  <c r="V55" i="22"/>
  <c r="U54" i="22"/>
  <c r="V54" i="22"/>
  <c r="M129" i="22"/>
  <c r="M141" i="22" s="1"/>
  <c r="Q110" i="22"/>
  <c r="H110" i="22"/>
  <c r="I110" i="22"/>
  <c r="J110" i="22"/>
  <c r="K110" i="22"/>
  <c r="L110" i="22"/>
  <c r="O110" i="22"/>
  <c r="G110" i="22"/>
  <c r="D110" i="22"/>
  <c r="E110" i="22"/>
  <c r="F15" i="22" l="1"/>
  <c r="F13" i="22"/>
  <c r="F12" i="22"/>
  <c r="F11" i="22"/>
  <c r="F10" i="22"/>
  <c r="F8" i="22"/>
  <c r="F7" i="22"/>
  <c r="L109" i="22"/>
  <c r="L108" i="22" s="1"/>
  <c r="L91" i="22"/>
  <c r="L84" i="22"/>
  <c r="L98" i="22" s="1"/>
  <c r="L79" i="22"/>
  <c r="L77" i="22"/>
  <c r="L66" i="22"/>
  <c r="L33" i="22"/>
  <c r="L18" i="22"/>
  <c r="L14" i="22"/>
  <c r="L9" i="22"/>
  <c r="L80" i="22" l="1"/>
  <c r="L127" i="22" s="1"/>
  <c r="L47" i="22"/>
  <c r="L116" i="22" s="1"/>
  <c r="L78" i="22"/>
  <c r="L75" i="22" s="1"/>
  <c r="L124" i="22" s="1"/>
  <c r="L126" i="22"/>
  <c r="L100" i="22"/>
  <c r="L112" i="22"/>
  <c r="L114" i="22" s="1"/>
  <c r="L125" i="22" l="1"/>
  <c r="L129" i="22"/>
  <c r="L141" i="22" s="1"/>
  <c r="L118" i="22"/>
  <c r="L120" i="22" s="1"/>
  <c r="L82" i="22"/>
  <c r="L131" i="22" s="1"/>
  <c r="T103" i="22"/>
  <c r="T96" i="22"/>
  <c r="F96" i="22"/>
  <c r="R96" i="22" s="1"/>
  <c r="F103" i="22"/>
  <c r="U103" i="22" l="1"/>
  <c r="Z103" i="22"/>
  <c r="P103" i="22"/>
  <c r="V103" i="22"/>
  <c r="S103" i="22"/>
  <c r="R103" i="22"/>
  <c r="U96" i="22"/>
  <c r="E41" i="22"/>
  <c r="T41" i="22" s="1"/>
  <c r="E27" i="22"/>
  <c r="T27" i="22" s="1"/>
  <c r="T21" i="22"/>
  <c r="T20" i="22"/>
  <c r="E13" i="22"/>
  <c r="T13" i="22" s="1"/>
  <c r="E10" i="22"/>
  <c r="T10" i="22" s="1"/>
  <c r="X110" i="22" l="1"/>
  <c r="Y103" i="22"/>
  <c r="A103" i="22"/>
  <c r="A104" i="22" s="1"/>
  <c r="X91" i="22"/>
  <c r="Y96" i="22"/>
  <c r="K109" i="22" l="1"/>
  <c r="K108" i="22" s="1"/>
  <c r="K91" i="22"/>
  <c r="K84" i="22"/>
  <c r="K98" i="22" s="1"/>
  <c r="K79" i="22"/>
  <c r="K77" i="22"/>
  <c r="K68" i="22"/>
  <c r="K67" i="22"/>
  <c r="K33" i="22"/>
  <c r="K18" i="22"/>
  <c r="K14" i="22"/>
  <c r="K9" i="22"/>
  <c r="K66" i="22" l="1"/>
  <c r="K126" i="22"/>
  <c r="K47" i="22"/>
  <c r="K100" i="22"/>
  <c r="K112" i="22"/>
  <c r="K114" i="22" s="1"/>
  <c r="K80" i="22" l="1"/>
  <c r="K78" i="22" s="1"/>
  <c r="K75" i="22" s="1"/>
  <c r="K124" i="22" s="1"/>
  <c r="K118" i="22"/>
  <c r="K120" i="22" s="1"/>
  <c r="K116" i="22"/>
  <c r="K129" i="22" s="1"/>
  <c r="K141" i="22" s="1"/>
  <c r="E9" i="22"/>
  <c r="T9" i="22" s="1"/>
  <c r="O66" i="22"/>
  <c r="O80" i="22" s="1"/>
  <c r="K82" i="22" l="1"/>
  <c r="K131" i="22" s="1"/>
  <c r="K127" i="22"/>
  <c r="K125" i="22" s="1"/>
  <c r="T51" i="22"/>
  <c r="J109" i="22"/>
  <c r="J108" i="22" s="1"/>
  <c r="J91" i="22"/>
  <c r="J84" i="22"/>
  <c r="J98" i="22" s="1"/>
  <c r="J79" i="22"/>
  <c r="J77" i="22"/>
  <c r="J66" i="22"/>
  <c r="J33" i="22"/>
  <c r="J18" i="22"/>
  <c r="J14" i="22"/>
  <c r="J9" i="22"/>
  <c r="I79" i="22"/>
  <c r="H79" i="22"/>
  <c r="G79" i="22"/>
  <c r="F51" i="22"/>
  <c r="T58" i="22"/>
  <c r="F58" i="22"/>
  <c r="T62" i="22"/>
  <c r="F62" i="22"/>
  <c r="Y62" i="22" s="1"/>
  <c r="Y58" i="22" l="1"/>
  <c r="V58" i="22"/>
  <c r="P58" i="22"/>
  <c r="Z58" i="22"/>
  <c r="S58" i="22"/>
  <c r="J80" i="22"/>
  <c r="J127" i="22" s="1"/>
  <c r="U51" i="22"/>
  <c r="Y51" i="22"/>
  <c r="S51" i="22"/>
  <c r="P51" i="22"/>
  <c r="V51" i="22"/>
  <c r="R51" i="22"/>
  <c r="J47" i="22"/>
  <c r="J116" i="22" s="1"/>
  <c r="J126" i="22"/>
  <c r="J112" i="22"/>
  <c r="J114" i="22" s="1"/>
  <c r="J100" i="22"/>
  <c r="U62" i="22"/>
  <c r="U58" i="22"/>
  <c r="R58" i="22"/>
  <c r="J125" i="22" l="1"/>
  <c r="J78" i="22"/>
  <c r="J75" i="22" s="1"/>
  <c r="J118" i="22"/>
  <c r="J120" i="22" s="1"/>
  <c r="J124" i="22"/>
  <c r="J129" i="22" s="1"/>
  <c r="J141" i="22" s="1"/>
  <c r="J82" i="22"/>
  <c r="J131" i="22" s="1"/>
  <c r="T72" i="22" l="1"/>
  <c r="F72" i="22"/>
  <c r="D66" i="22"/>
  <c r="V72" i="22" l="1"/>
  <c r="P72" i="22"/>
  <c r="Y72" i="22"/>
  <c r="S72" i="22"/>
  <c r="U72" i="22"/>
  <c r="R72" i="22"/>
  <c r="I109" i="22" l="1"/>
  <c r="I91" i="22"/>
  <c r="I84" i="22"/>
  <c r="I98" i="22" s="1"/>
  <c r="I77" i="22"/>
  <c r="I66" i="22"/>
  <c r="I80" i="22" s="1"/>
  <c r="I33" i="22"/>
  <c r="I18" i="22"/>
  <c r="I14" i="22"/>
  <c r="I9" i="22"/>
  <c r="I78" i="22" l="1"/>
  <c r="I75" i="22" s="1"/>
  <c r="I126" i="22"/>
  <c r="I108" i="22"/>
  <c r="I112" i="22" s="1"/>
  <c r="I114" i="22" s="1"/>
  <c r="I127" i="22"/>
  <c r="I47" i="22"/>
  <c r="I100" i="22"/>
  <c r="I124" i="22" l="1"/>
  <c r="I125" i="22"/>
  <c r="I118" i="22"/>
  <c r="I120" i="22" s="1"/>
  <c r="I116" i="22"/>
  <c r="I82" i="22"/>
  <c r="I131" i="22" s="1"/>
  <c r="T104" i="22"/>
  <c r="T70" i="22"/>
  <c r="F43" i="22"/>
  <c r="U43" i="22" s="1"/>
  <c r="F32" i="22"/>
  <c r="H109" i="22"/>
  <c r="H91" i="22"/>
  <c r="H84" i="22"/>
  <c r="H98" i="22" s="1"/>
  <c r="H77" i="22"/>
  <c r="H66" i="22"/>
  <c r="H33" i="22"/>
  <c r="H18" i="22"/>
  <c r="H14" i="22"/>
  <c r="H9" i="22"/>
  <c r="F104" i="22"/>
  <c r="F70" i="22"/>
  <c r="Y104" i="22" l="1"/>
  <c r="S104" i="22"/>
  <c r="P104" i="22"/>
  <c r="V104" i="22"/>
  <c r="H80" i="22"/>
  <c r="H78" i="22" s="1"/>
  <c r="H75" i="22" s="1"/>
  <c r="R70" i="22"/>
  <c r="Z70" i="22"/>
  <c r="I129" i="22"/>
  <c r="I141" i="22" s="1"/>
  <c r="P32" i="22"/>
  <c r="V32" i="22"/>
  <c r="U32" i="22"/>
  <c r="S32" i="22"/>
  <c r="H108" i="22"/>
  <c r="H126" i="22"/>
  <c r="R104" i="22"/>
  <c r="Y43" i="22"/>
  <c r="Y70" i="22"/>
  <c r="R43" i="22"/>
  <c r="P70" i="22"/>
  <c r="Y32" i="22"/>
  <c r="H47" i="22"/>
  <c r="H116" i="22" s="1"/>
  <c r="U104" i="22"/>
  <c r="U70" i="22"/>
  <c r="V70" i="22"/>
  <c r="S70" i="22"/>
  <c r="R32" i="22"/>
  <c r="H100" i="22"/>
  <c r="H127" i="22" l="1"/>
  <c r="H125" i="22"/>
  <c r="H124" i="22"/>
  <c r="H129" i="22"/>
  <c r="H141" i="22" s="1"/>
  <c r="H112" i="22"/>
  <c r="H114" i="22" s="1"/>
  <c r="H82" i="22"/>
  <c r="H118" i="22"/>
  <c r="H120" i="22" s="1"/>
  <c r="H131" i="22" l="1"/>
  <c r="A25" i="22"/>
  <c r="Q109" i="22" l="1"/>
  <c r="Q108" i="22" s="1"/>
  <c r="X9" i="22" l="1"/>
  <c r="Q9" i="22"/>
  <c r="O9" i="22"/>
  <c r="G9" i="22"/>
  <c r="O33" i="22"/>
  <c r="O18" i="22"/>
  <c r="O14" i="22"/>
  <c r="O127" i="22"/>
  <c r="O77" i="22"/>
  <c r="O84" i="22"/>
  <c r="O98" i="22" s="1"/>
  <c r="O100" i="22" s="1"/>
  <c r="O91" i="22"/>
  <c r="O109" i="22"/>
  <c r="F122" i="22"/>
  <c r="F110" i="22"/>
  <c r="F102" i="22"/>
  <c r="F97" i="22"/>
  <c r="F95" i="22"/>
  <c r="F94" i="22"/>
  <c r="S94" i="22" s="1"/>
  <c r="F93" i="22"/>
  <c r="F92" i="22"/>
  <c r="F90" i="22"/>
  <c r="Z90" i="22" s="1"/>
  <c r="F89" i="22"/>
  <c r="Z89" i="22" s="1"/>
  <c r="F88" i="22"/>
  <c r="F87" i="22"/>
  <c r="F86" i="22"/>
  <c r="F85" i="22"/>
  <c r="F71" i="22"/>
  <c r="F69" i="22"/>
  <c r="Z69" i="22" s="1"/>
  <c r="F68" i="22"/>
  <c r="Z68" i="22" s="1"/>
  <c r="F67" i="22"/>
  <c r="Z67" i="22" s="1"/>
  <c r="Z64" i="22"/>
  <c r="F61" i="22"/>
  <c r="F60" i="22"/>
  <c r="F57" i="22"/>
  <c r="Z57" i="22" s="1"/>
  <c r="F56" i="22"/>
  <c r="F52" i="22"/>
  <c r="F50" i="22"/>
  <c r="F49" i="22"/>
  <c r="F46" i="22"/>
  <c r="F45" i="22"/>
  <c r="Z45" i="22" s="1"/>
  <c r="F44" i="22"/>
  <c r="F42" i="22"/>
  <c r="F41" i="22"/>
  <c r="S41" i="22" s="1"/>
  <c r="F40" i="22"/>
  <c r="S40" i="22" s="1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Z25" i="22" s="1"/>
  <c r="F24" i="22"/>
  <c r="F23" i="22"/>
  <c r="F22" i="22"/>
  <c r="F21" i="22"/>
  <c r="F20" i="22"/>
  <c r="F19" i="22"/>
  <c r="F17" i="22"/>
  <c r="F16" i="22"/>
  <c r="V11" i="22"/>
  <c r="Z102" i="22" l="1"/>
  <c r="S102" i="22"/>
  <c r="Z110" i="22"/>
  <c r="P110" i="22"/>
  <c r="S110" i="22"/>
  <c r="Q122" i="22"/>
  <c r="T122" i="22" s="1"/>
  <c r="F9" i="22"/>
  <c r="Z92" i="22"/>
  <c r="S92" i="22"/>
  <c r="S88" i="22"/>
  <c r="Z88" i="22"/>
  <c r="V40" i="22"/>
  <c r="P40" i="22"/>
  <c r="P10" i="22"/>
  <c r="V10" i="22"/>
  <c r="Y10" i="22"/>
  <c r="S10" i="22"/>
  <c r="S93" i="22"/>
  <c r="P93" i="22"/>
  <c r="V93" i="22"/>
  <c r="S27" i="22"/>
  <c r="Z27" i="22"/>
  <c r="Z15" i="22"/>
  <c r="S15" i="22"/>
  <c r="Z16" i="22"/>
  <c r="S16" i="22"/>
  <c r="O47" i="22"/>
  <c r="O118" i="22" s="1"/>
  <c r="O120" i="22" s="1"/>
  <c r="R24" i="22"/>
  <c r="U24" i="22"/>
  <c r="Z11" i="22"/>
  <c r="S11" i="22"/>
  <c r="S13" i="22"/>
  <c r="Z13" i="22"/>
  <c r="R10" i="22"/>
  <c r="U10" i="22"/>
  <c r="O126" i="22"/>
  <c r="O125" i="22" s="1"/>
  <c r="O78" i="22"/>
  <c r="O108" i="22"/>
  <c r="O112" i="22" s="1"/>
  <c r="O114" i="22" s="1"/>
  <c r="Y24" i="22"/>
  <c r="O116" i="22" l="1"/>
  <c r="O75" i="22"/>
  <c r="T64" i="22"/>
  <c r="T49" i="22"/>
  <c r="X18" i="22"/>
  <c r="Y64" i="22"/>
  <c r="Q18" i="22"/>
  <c r="G18" i="22"/>
  <c r="F18" i="22" s="1"/>
  <c r="G109" i="22"/>
  <c r="F109" i="22" s="1"/>
  <c r="S109" i="22" s="1"/>
  <c r="E109" i="22"/>
  <c r="E108" i="22" s="1"/>
  <c r="Q77" i="22"/>
  <c r="F79" i="22"/>
  <c r="G77" i="22"/>
  <c r="F77" i="22" s="1"/>
  <c r="E77" i="22"/>
  <c r="Q66" i="22"/>
  <c r="G66" i="22"/>
  <c r="E66" i="22"/>
  <c r="E33" i="22"/>
  <c r="T33" i="22" s="1"/>
  <c r="E18" i="22"/>
  <c r="T18" i="22" s="1"/>
  <c r="E14" i="22"/>
  <c r="T14" i="22" s="1"/>
  <c r="F66" i="22" l="1"/>
  <c r="G108" i="22"/>
  <c r="F108" i="22" s="1"/>
  <c r="T47" i="22"/>
  <c r="E47" i="22"/>
  <c r="T141" i="22" s="1"/>
  <c r="O82" i="22"/>
  <c r="O131" i="22" s="1"/>
  <c r="O124" i="22"/>
  <c r="G126" i="22"/>
  <c r="F126" i="22" s="1"/>
  <c r="V64" i="22"/>
  <c r="S64" i="22"/>
  <c r="P64" i="22"/>
  <c r="R64" i="22"/>
  <c r="U64" i="22"/>
  <c r="Q126" i="22"/>
  <c r="O129" i="22" l="1"/>
  <c r="O141" i="22" s="1"/>
  <c r="D59" i="22" l="1"/>
  <c r="D80" i="22" s="1"/>
  <c r="G59" i="22"/>
  <c r="Q59" i="22"/>
  <c r="Q80" i="22" s="1"/>
  <c r="R60" i="22"/>
  <c r="T60" i="22"/>
  <c r="E61" i="22"/>
  <c r="T61" i="22"/>
  <c r="AC61" i="22"/>
  <c r="D21" i="22"/>
  <c r="D19" i="22"/>
  <c r="F59" i="22" l="1"/>
  <c r="F80" i="22" s="1"/>
  <c r="G80" i="22"/>
  <c r="E59" i="22"/>
  <c r="E80" i="22" s="1"/>
  <c r="T59" i="22"/>
  <c r="Y59" i="22"/>
  <c r="R61" i="22"/>
  <c r="Y60" i="22"/>
  <c r="Y61" i="22"/>
  <c r="U61" i="22"/>
  <c r="U60" i="22"/>
  <c r="D18" i="22"/>
  <c r="E78" i="22" l="1"/>
  <c r="E75" i="22" s="1"/>
  <c r="E82" i="22" s="1"/>
  <c r="Q78" i="22"/>
  <c r="Q75" i="22" s="1"/>
  <c r="Q124" i="22" s="1"/>
  <c r="Q127" i="22"/>
  <c r="Q125" i="22" s="1"/>
  <c r="R59" i="22"/>
  <c r="G78" i="22"/>
  <c r="G127" i="22"/>
  <c r="U59" i="22"/>
  <c r="G75" i="22" l="1"/>
  <c r="F78" i="22"/>
  <c r="G125" i="22"/>
  <c r="F125" i="22" s="1"/>
  <c r="F127" i="22"/>
  <c r="X109" i="22"/>
  <c r="Z109" i="22" s="1"/>
  <c r="X84" i="22"/>
  <c r="X98" i="22" s="1"/>
  <c r="X79" i="22"/>
  <c r="X77" i="22"/>
  <c r="X33" i="22"/>
  <c r="X14" i="22"/>
  <c r="X47" i="22" l="1"/>
  <c r="G124" i="22"/>
  <c r="F124" i="22" s="1"/>
  <c r="F75" i="22"/>
  <c r="X127" i="22"/>
  <c r="X108" i="22"/>
  <c r="X78" i="22"/>
  <c r="X75" i="22" s="1"/>
  <c r="X100" i="22"/>
  <c r="X126" i="22"/>
  <c r="AA18" i="22"/>
  <c r="AA15" i="22"/>
  <c r="X112" i="22" l="1"/>
  <c r="AB112" i="22" s="1"/>
  <c r="Z108" i="22"/>
  <c r="X82" i="22"/>
  <c r="X118" i="22"/>
  <c r="X120" i="22" s="1"/>
  <c r="X125" i="22"/>
  <c r="X124" i="22"/>
  <c r="X116" i="22"/>
  <c r="X129" i="22" l="1"/>
  <c r="X114" i="22"/>
  <c r="X131" i="22" s="1"/>
  <c r="Z122" i="22"/>
  <c r="D109" i="22"/>
  <c r="D108" i="22" s="1"/>
  <c r="T102" i="22"/>
  <c r="T109" i="22" s="1"/>
  <c r="R95" i="22"/>
  <c r="R94" i="22"/>
  <c r="Q91" i="22"/>
  <c r="G91" i="22"/>
  <c r="F91" i="22" s="1"/>
  <c r="D91" i="22"/>
  <c r="R89" i="22"/>
  <c r="R87" i="22"/>
  <c r="A88" i="22"/>
  <c r="A89" i="22" s="1"/>
  <c r="A90" i="22" s="1"/>
  <c r="A91" i="22" s="1"/>
  <c r="Z86" i="22"/>
  <c r="Y85" i="22"/>
  <c r="T84" i="22"/>
  <c r="Q84" i="22"/>
  <c r="Q98" i="22" s="1"/>
  <c r="G84" i="22"/>
  <c r="F84" i="22" s="1"/>
  <c r="D84" i="22"/>
  <c r="D98" i="22" s="1"/>
  <c r="D79" i="22"/>
  <c r="D77" i="22"/>
  <c r="T71" i="22"/>
  <c r="T69" i="22"/>
  <c r="Y69" i="22"/>
  <c r="T68" i="22"/>
  <c r="R68" i="22"/>
  <c r="T67" i="22"/>
  <c r="Y67" i="22"/>
  <c r="AB66" i="22"/>
  <c r="T57" i="22"/>
  <c r="R57" i="22"/>
  <c r="T56" i="22"/>
  <c r="S56" i="22"/>
  <c r="T52" i="22"/>
  <c r="T77" i="22" s="1"/>
  <c r="R52" i="22"/>
  <c r="T50" i="22"/>
  <c r="T79" i="22" s="1"/>
  <c r="S49" i="22"/>
  <c r="P45" i="22"/>
  <c r="P42" i="22"/>
  <c r="Y41" i="22"/>
  <c r="Y40" i="22"/>
  <c r="S39" i="22"/>
  <c r="A39" i="22"/>
  <c r="A40" i="22" s="1"/>
  <c r="A41" i="22" s="1"/>
  <c r="R38" i="22"/>
  <c r="S36" i="22"/>
  <c r="P35" i="22"/>
  <c r="Z34" i="22"/>
  <c r="AA34" i="22" s="1"/>
  <c r="Q33" i="22"/>
  <c r="G33" i="22"/>
  <c r="F33" i="22" s="1"/>
  <c r="D33" i="22"/>
  <c r="Z31" i="22"/>
  <c r="P26" i="22"/>
  <c r="S25" i="22"/>
  <c r="A26" i="22"/>
  <c r="A27" i="22" s="1"/>
  <c r="A28" i="22" s="1"/>
  <c r="A29" i="22" s="1"/>
  <c r="A30" i="22" s="1"/>
  <c r="A31" i="22" s="1"/>
  <c r="A32" i="22" s="1"/>
  <c r="A33" i="22" s="1"/>
  <c r="S23" i="22"/>
  <c r="P22" i="22"/>
  <c r="Z21" i="22"/>
  <c r="AA21" i="22" s="1"/>
  <c r="Q14" i="22"/>
  <c r="G14" i="22"/>
  <c r="D14" i="22"/>
  <c r="D9" i="22"/>
  <c r="AC8" i="22"/>
  <c r="AD8" i="22" s="1"/>
  <c r="Z8" i="22"/>
  <c r="A8" i="22"/>
  <c r="AD7" i="22"/>
  <c r="AC7" i="22"/>
  <c r="C5" i="22"/>
  <c r="D5" i="22" s="1"/>
  <c r="E5" i="22" s="1"/>
  <c r="R5" i="22" l="1"/>
  <c r="S5" i="22" s="1"/>
  <c r="T5" i="22" s="1"/>
  <c r="U5" i="22" s="1"/>
  <c r="V5" i="22" s="1"/>
  <c r="Y5" i="22" s="1"/>
  <c r="Z5" i="22" s="1"/>
  <c r="Q47" i="22"/>
  <c r="A42" i="22"/>
  <c r="A43" i="22" s="1"/>
  <c r="A44" i="22" s="1"/>
  <c r="A45" i="22" s="1"/>
  <c r="A46" i="22" s="1"/>
  <c r="F14" i="22"/>
  <c r="Z14" i="22" s="1"/>
  <c r="G47" i="22"/>
  <c r="F47" i="22" s="1"/>
  <c r="D126" i="22"/>
  <c r="U87" i="22"/>
  <c r="Q112" i="22"/>
  <c r="Q114" i="22" s="1"/>
  <c r="T126" i="22"/>
  <c r="U7" i="22"/>
  <c r="P7" i="22"/>
  <c r="R7" i="22"/>
  <c r="V102" i="22"/>
  <c r="R9" i="22"/>
  <c r="V92" i="22"/>
  <c r="D47" i="22"/>
  <c r="D116" i="22" s="1"/>
  <c r="U38" i="22"/>
  <c r="R86" i="22"/>
  <c r="U86" i="22"/>
  <c r="Y86" i="22"/>
  <c r="P88" i="22"/>
  <c r="U94" i="22"/>
  <c r="U97" i="22"/>
  <c r="S21" i="22"/>
  <c r="Z87" i="22"/>
  <c r="P20" i="22"/>
  <c r="V22" i="22"/>
  <c r="V45" i="22"/>
  <c r="Z49" i="22"/>
  <c r="V7" i="22"/>
  <c r="Y21" i="22"/>
  <c r="AC23" i="22"/>
  <c r="V31" i="22"/>
  <c r="P92" i="22"/>
  <c r="U13" i="22"/>
  <c r="U21" i="22"/>
  <c r="S22" i="22"/>
  <c r="Z85" i="22"/>
  <c r="S87" i="22"/>
  <c r="R21" i="22"/>
  <c r="U25" i="22"/>
  <c r="U28" i="22"/>
  <c r="P34" i="22"/>
  <c r="P49" i="22"/>
  <c r="Y87" i="22"/>
  <c r="P38" i="22"/>
  <c r="U52" i="22"/>
  <c r="R67" i="22"/>
  <c r="Y122" i="22"/>
  <c r="P13" i="22"/>
  <c r="Z38" i="22"/>
  <c r="V41" i="22"/>
  <c r="Y56" i="22"/>
  <c r="S67" i="22"/>
  <c r="R13" i="22"/>
  <c r="U29" i="22"/>
  <c r="U67" i="22"/>
  <c r="U50" i="22"/>
  <c r="Y13" i="22"/>
  <c r="Z23" i="22"/>
  <c r="V27" i="22"/>
  <c r="V36" i="22"/>
  <c r="S38" i="22"/>
  <c r="P68" i="22"/>
  <c r="R26" i="22"/>
  <c r="Z26" i="22"/>
  <c r="R35" i="22"/>
  <c r="U37" i="22"/>
  <c r="R40" i="22"/>
  <c r="Z56" i="22"/>
  <c r="U12" i="22"/>
  <c r="U33" i="22"/>
  <c r="R34" i="22"/>
  <c r="R23" i="22"/>
  <c r="S34" i="22"/>
  <c r="R42" i="22"/>
  <c r="R50" i="22"/>
  <c r="V67" i="22"/>
  <c r="U68" i="22"/>
  <c r="Z77" i="22"/>
  <c r="AB15" i="22"/>
  <c r="P21" i="22"/>
  <c r="P25" i="22"/>
  <c r="U26" i="22"/>
  <c r="V29" i="22"/>
  <c r="V34" i="22"/>
  <c r="U35" i="22"/>
  <c r="Z39" i="22"/>
  <c r="AA39" i="22" s="1"/>
  <c r="P41" i="22"/>
  <c r="V42" i="22"/>
  <c r="U56" i="22"/>
  <c r="V68" i="22"/>
  <c r="E84" i="22"/>
  <c r="R92" i="22"/>
  <c r="V94" i="22"/>
  <c r="U95" i="22"/>
  <c r="R56" i="22"/>
  <c r="Y39" i="22"/>
  <c r="V46" i="22"/>
  <c r="Z50" i="22"/>
  <c r="P102" i="22"/>
  <c r="V19" i="22"/>
  <c r="AB18" i="22"/>
  <c r="V23" i="22"/>
  <c r="V26" i="22"/>
  <c r="P29" i="22"/>
  <c r="U31" i="22"/>
  <c r="V35" i="22"/>
  <c r="U40" i="22"/>
  <c r="V56" i="22"/>
  <c r="Y94" i="22"/>
  <c r="Y35" i="22"/>
  <c r="P30" i="22"/>
  <c r="Y26" i="22"/>
  <c r="Z35" i="22"/>
  <c r="AA35" i="22" s="1"/>
  <c r="R39" i="22"/>
  <c r="T66" i="22"/>
  <c r="T80" i="22" s="1"/>
  <c r="U17" i="22"/>
  <c r="V20" i="22"/>
  <c r="S26" i="22"/>
  <c r="S35" i="22"/>
  <c r="P37" i="22"/>
  <c r="Y50" i="22"/>
  <c r="P57" i="22"/>
  <c r="P89" i="22"/>
  <c r="Y92" i="22"/>
  <c r="R97" i="22"/>
  <c r="U11" i="22"/>
  <c r="AE47" i="22"/>
  <c r="U39" i="22"/>
  <c r="V39" i="22"/>
  <c r="V16" i="22"/>
  <c r="U16" i="22"/>
  <c r="Z33" i="22"/>
  <c r="S33" i="22"/>
  <c r="R33" i="22"/>
  <c r="Y33" i="22"/>
  <c r="Z91" i="22"/>
  <c r="S91" i="22"/>
  <c r="R91" i="22"/>
  <c r="Y91" i="22"/>
  <c r="V44" i="22"/>
  <c r="R18" i="22"/>
  <c r="Y18" i="22"/>
  <c r="S18" i="22"/>
  <c r="Z18" i="22"/>
  <c r="U15" i="22"/>
  <c r="V15" i="22"/>
  <c r="AB47" i="22"/>
  <c r="AC45" i="22"/>
  <c r="Z30" i="22"/>
  <c r="P44" i="22"/>
  <c r="Y12" i="22"/>
  <c r="Y17" i="22"/>
  <c r="Y7" i="22"/>
  <c r="P8" i="22"/>
  <c r="S12" i="22"/>
  <c r="Z12" i="22"/>
  <c r="Z29" i="22"/>
  <c r="AA29" i="22" s="1"/>
  <c r="P31" i="22"/>
  <c r="U36" i="22"/>
  <c r="Z7" i="22"/>
  <c r="R8" i="22"/>
  <c r="Y8" i="22"/>
  <c r="R11" i="22"/>
  <c r="Y11" i="22"/>
  <c r="V13" i="22"/>
  <c r="Y15" i="22"/>
  <c r="R16" i="22"/>
  <c r="Y20" i="22"/>
  <c r="AC21" i="22"/>
  <c r="S29" i="22"/>
  <c r="U30" i="22"/>
  <c r="R31" i="22"/>
  <c r="S37" i="22"/>
  <c r="R41" i="22"/>
  <c r="U45" i="22"/>
  <c r="Y45" i="22"/>
  <c r="R46" i="22"/>
  <c r="U69" i="22"/>
  <c r="V69" i="22"/>
  <c r="R69" i="22"/>
  <c r="P69" i="22"/>
  <c r="U90" i="22"/>
  <c r="P90" i="22"/>
  <c r="R90" i="22"/>
  <c r="Y90" i="22"/>
  <c r="V12" i="22"/>
  <c r="V17" i="22"/>
  <c r="S20" i="22"/>
  <c r="V21" i="22"/>
  <c r="U23" i="22"/>
  <c r="Y23" i="22"/>
  <c r="Y27" i="22"/>
  <c r="R27" i="22"/>
  <c r="P28" i="22"/>
  <c r="Y36" i="22"/>
  <c r="R36" i="22"/>
  <c r="Z36" i="22"/>
  <c r="V37" i="22"/>
  <c r="U41" i="22"/>
  <c r="U46" i="22"/>
  <c r="Z52" i="22"/>
  <c r="U57" i="22"/>
  <c r="V87" i="22"/>
  <c r="T98" i="22"/>
  <c r="V90" i="22"/>
  <c r="P12" i="22"/>
  <c r="Y30" i="22"/>
  <c r="R30" i="22"/>
  <c r="R12" i="22"/>
  <c r="Z19" i="22"/>
  <c r="S19" i="22"/>
  <c r="R28" i="22"/>
  <c r="S30" i="22"/>
  <c r="Y37" i="22"/>
  <c r="U42" i="22"/>
  <c r="Z44" i="22"/>
  <c r="S44" i="22"/>
  <c r="Y44" i="22"/>
  <c r="P46" i="22"/>
  <c r="V49" i="22"/>
  <c r="P56" i="22"/>
  <c r="Y57" i="22"/>
  <c r="Y93" i="22"/>
  <c r="U93" i="22"/>
  <c r="R93" i="22"/>
  <c r="U22" i="22"/>
  <c r="Z17" i="22"/>
  <c r="R19" i="22"/>
  <c r="P39" i="22"/>
  <c r="U77" i="22"/>
  <c r="Y77" i="22"/>
  <c r="R77" i="22"/>
  <c r="P17" i="22"/>
  <c r="Y28" i="22"/>
  <c r="R17" i="22"/>
  <c r="P11" i="22"/>
  <c r="P15" i="22"/>
  <c r="S17" i="22"/>
  <c r="U18" i="22"/>
  <c r="U27" i="22"/>
  <c r="Z37" i="22"/>
  <c r="R44" i="22"/>
  <c r="S7" i="22"/>
  <c r="Y16" i="22"/>
  <c r="P19" i="22"/>
  <c r="Y19" i="22"/>
  <c r="P16" i="22"/>
  <c r="Y29" i="22"/>
  <c r="R29" i="22"/>
  <c r="R37" i="22"/>
  <c r="Y46" i="22"/>
  <c r="V57" i="22"/>
  <c r="S57" i="22"/>
  <c r="R15" i="22"/>
  <c r="V25" i="22"/>
  <c r="Y25" i="22"/>
  <c r="Y31" i="22"/>
  <c r="U85" i="22"/>
  <c r="R85" i="22"/>
  <c r="P85" i="22"/>
  <c r="S85" i="22"/>
  <c r="D100" i="22"/>
  <c r="D112" i="22"/>
  <c r="D114" i="22" s="1"/>
  <c r="S8" i="22"/>
  <c r="U19" i="22"/>
  <c r="R20" i="22"/>
  <c r="Z20" i="22"/>
  <c r="Y22" i="22"/>
  <c r="R22" i="22"/>
  <c r="Z22" i="22"/>
  <c r="P23" i="22"/>
  <c r="R25" i="22"/>
  <c r="AA25" i="22"/>
  <c r="P27" i="22"/>
  <c r="V28" i="22"/>
  <c r="V30" i="22"/>
  <c r="S31" i="22"/>
  <c r="Y34" i="22"/>
  <c r="P36" i="22"/>
  <c r="V38" i="22"/>
  <c r="Y38" i="22"/>
  <c r="Z42" i="22"/>
  <c r="S42" i="22"/>
  <c r="Y42" i="22"/>
  <c r="U44" i="22"/>
  <c r="R45" i="22"/>
  <c r="U49" i="22"/>
  <c r="Y49" i="22"/>
  <c r="R49" i="22"/>
  <c r="Y52" i="22"/>
  <c r="S69" i="22"/>
  <c r="V85" i="22"/>
  <c r="Y88" i="22"/>
  <c r="R88" i="22"/>
  <c r="U88" i="22"/>
  <c r="V88" i="22"/>
  <c r="S90" i="22"/>
  <c r="Z93" i="22"/>
  <c r="T91" i="22"/>
  <c r="V91" i="22" s="1"/>
  <c r="U92" i="22"/>
  <c r="Z95" i="22"/>
  <c r="S95" i="22"/>
  <c r="V95" i="22"/>
  <c r="P95" i="22"/>
  <c r="Y95" i="22"/>
  <c r="P67" i="22"/>
  <c r="G98" i="22"/>
  <c r="G100" i="22" s="1"/>
  <c r="F100" i="22" s="1"/>
  <c r="E91" i="22"/>
  <c r="P91" i="22" s="1"/>
  <c r="S68" i="22"/>
  <c r="Y68" i="22"/>
  <c r="P87" i="22"/>
  <c r="E126" i="22"/>
  <c r="Q100" i="22"/>
  <c r="S89" i="22"/>
  <c r="Y89" i="22"/>
  <c r="U102" i="22"/>
  <c r="Y102" i="22"/>
  <c r="R102" i="22"/>
  <c r="Z97" i="22"/>
  <c r="S97" i="22"/>
  <c r="V97" i="22"/>
  <c r="P97" i="22"/>
  <c r="Y97" i="22"/>
  <c r="P122" i="22"/>
  <c r="V122" i="22"/>
  <c r="P94" i="22"/>
  <c r="Z94" i="22"/>
  <c r="S14" i="22" l="1"/>
  <c r="Y14" i="22"/>
  <c r="U14" i="22"/>
  <c r="V14" i="22"/>
  <c r="P14" i="22"/>
  <c r="R14" i="22"/>
  <c r="E98" i="22"/>
  <c r="T143" i="22" s="1"/>
  <c r="G112" i="22"/>
  <c r="F98" i="22"/>
  <c r="S98" i="22" s="1"/>
  <c r="T78" i="22"/>
  <c r="T75" i="22" s="1"/>
  <c r="T82" i="22" s="1"/>
  <c r="G82" i="22"/>
  <c r="F82" i="22" s="1"/>
  <c r="Z9" i="22"/>
  <c r="U9" i="22"/>
  <c r="Y9" i="22"/>
  <c r="G116" i="22"/>
  <c r="S9" i="22"/>
  <c r="Q82" i="22"/>
  <c r="Q116" i="22"/>
  <c r="Q129" i="22" s="1"/>
  <c r="Q141" i="22" s="1"/>
  <c r="Q118" i="22"/>
  <c r="Q120" i="22" s="1"/>
  <c r="U20" i="22"/>
  <c r="V33" i="22"/>
  <c r="P33" i="22"/>
  <c r="U34" i="22"/>
  <c r="P18" i="22"/>
  <c r="U122" i="22"/>
  <c r="D118" i="22"/>
  <c r="D120" i="22" s="1"/>
  <c r="P9" i="22"/>
  <c r="S122" i="22"/>
  <c r="T100" i="22"/>
  <c r="T118" i="22" s="1"/>
  <c r="T120" i="22" s="1"/>
  <c r="R109" i="22"/>
  <c r="U109" i="22"/>
  <c r="P109" i="22"/>
  <c r="Y109" i="22"/>
  <c r="V109" i="22"/>
  <c r="D127" i="22"/>
  <c r="D125" i="22" s="1"/>
  <c r="D78" i="22"/>
  <c r="D75" i="22" s="1"/>
  <c r="V71" i="22"/>
  <c r="R71" i="22"/>
  <c r="U71" i="22"/>
  <c r="S71" i="22"/>
  <c r="P71" i="22"/>
  <c r="Y71" i="22"/>
  <c r="V18" i="22"/>
  <c r="V9" i="22"/>
  <c r="U91" i="22"/>
  <c r="AB82" i="22"/>
  <c r="P66" i="22"/>
  <c r="Z66" i="22"/>
  <c r="S66" i="22"/>
  <c r="V66" i="22"/>
  <c r="Y66" i="22"/>
  <c r="R66" i="22"/>
  <c r="U66" i="22"/>
  <c r="P47" i="22"/>
  <c r="V79" i="22"/>
  <c r="U79" i="22"/>
  <c r="P79" i="22"/>
  <c r="S79" i="22"/>
  <c r="R79" i="22"/>
  <c r="Y79" i="22"/>
  <c r="Z79" i="22"/>
  <c r="Y47" i="22"/>
  <c r="R47" i="22"/>
  <c r="AB45" i="22"/>
  <c r="AD45" i="22" s="1"/>
  <c r="Z47" i="22"/>
  <c r="S47" i="22"/>
  <c r="R122" i="22"/>
  <c r="U8" i="22"/>
  <c r="V8" i="22"/>
  <c r="U47" i="22"/>
  <c r="T108" i="22"/>
  <c r="T112" i="22" s="1"/>
  <c r="Y84" i="22"/>
  <c r="S84" i="22"/>
  <c r="V84" i="22"/>
  <c r="Z84" i="22"/>
  <c r="R84" i="22"/>
  <c r="P84" i="22"/>
  <c r="U84" i="22"/>
  <c r="S108" i="22"/>
  <c r="U110" i="22"/>
  <c r="U89" i="22"/>
  <c r="V89" i="22"/>
  <c r="E100" i="22" l="1"/>
  <c r="E118" i="22" s="1"/>
  <c r="E120" i="22" s="1"/>
  <c r="G114" i="22"/>
  <c r="F114" i="22" s="1"/>
  <c r="F112" i="22"/>
  <c r="G118" i="22"/>
  <c r="G120" i="22" s="1"/>
  <c r="F120" i="22" s="1"/>
  <c r="S100" i="22"/>
  <c r="G129" i="22"/>
  <c r="F116" i="22"/>
  <c r="R116" i="22" s="1"/>
  <c r="T127" i="22"/>
  <c r="T125" i="22" s="1"/>
  <c r="T129" i="22"/>
  <c r="T114" i="22"/>
  <c r="T145" i="22"/>
  <c r="T146" i="22" s="1"/>
  <c r="T144" i="22"/>
  <c r="Y110" i="22"/>
  <c r="R110" i="22"/>
  <c r="T124" i="22"/>
  <c r="U126" i="22"/>
  <c r="R126" i="22"/>
  <c r="V126" i="22"/>
  <c r="Z126" i="22"/>
  <c r="Y126" i="22"/>
  <c r="P126" i="22"/>
  <c r="S126" i="22"/>
  <c r="D124" i="22"/>
  <c r="D129" i="22" s="1"/>
  <c r="D141" i="22" s="1"/>
  <c r="D82" i="22"/>
  <c r="D131" i="22" s="1"/>
  <c r="E131" i="22" s="1"/>
  <c r="T142" i="22"/>
  <c r="E116" i="22"/>
  <c r="R108" i="22"/>
  <c r="U108" i="22"/>
  <c r="V108" i="22"/>
  <c r="Y108" i="22"/>
  <c r="Z98" i="22"/>
  <c r="P98" i="22"/>
  <c r="R98" i="22"/>
  <c r="U98" i="22"/>
  <c r="Y98" i="22"/>
  <c r="V98" i="22"/>
  <c r="T116" i="22"/>
  <c r="V47" i="22"/>
  <c r="Q131" i="22"/>
  <c r="AE82" i="22"/>
  <c r="F118" i="22" l="1"/>
  <c r="F129" i="22"/>
  <c r="F144" i="22" s="1"/>
  <c r="G141" i="22"/>
  <c r="P116" i="22"/>
  <c r="Y116" i="22"/>
  <c r="Z116" i="22"/>
  <c r="S116" i="22"/>
  <c r="V116" i="22"/>
  <c r="T131" i="22"/>
  <c r="U116" i="22"/>
  <c r="Z100" i="22"/>
  <c r="P100" i="22"/>
  <c r="U100" i="22"/>
  <c r="V100" i="22"/>
  <c r="Y100" i="22"/>
  <c r="R100" i="22"/>
  <c r="E127" i="22"/>
  <c r="E125" i="22" s="1"/>
  <c r="U127" i="22"/>
  <c r="R127" i="22"/>
  <c r="Y127" i="22"/>
  <c r="Z127" i="22"/>
  <c r="S127" i="22"/>
  <c r="V127" i="22"/>
  <c r="V80" i="22"/>
  <c r="Y80" i="22"/>
  <c r="R80" i="22"/>
  <c r="U80" i="22"/>
  <c r="Z80" i="22"/>
  <c r="S80" i="22"/>
  <c r="P80" i="22"/>
  <c r="Z114" i="22" l="1"/>
  <c r="V114" i="22"/>
  <c r="S114" i="22"/>
  <c r="R114" i="22"/>
  <c r="U114" i="22"/>
  <c r="Y114" i="22"/>
  <c r="P127" i="22"/>
  <c r="G131" i="22"/>
  <c r="F131" i="22" s="1"/>
  <c r="V78" i="22"/>
  <c r="Z78" i="22"/>
  <c r="S78" i="22"/>
  <c r="P78" i="22"/>
  <c r="Y78" i="22"/>
  <c r="U78" i="22"/>
  <c r="R78" i="22"/>
  <c r="E124" i="22"/>
  <c r="E129" i="22" s="1"/>
  <c r="E112" i="22"/>
  <c r="E114" i="22" s="1"/>
  <c r="P114" i="22" s="1"/>
  <c r="P108" i="22"/>
  <c r="Z120" i="22"/>
  <c r="P120" i="22"/>
  <c r="V120" i="22"/>
  <c r="Y120" i="22"/>
  <c r="R120" i="22"/>
  <c r="U120" i="22"/>
  <c r="S120" i="22"/>
  <c r="Z112" i="22"/>
  <c r="S112" i="22"/>
  <c r="U112" i="22"/>
  <c r="Y112" i="22"/>
  <c r="R112" i="22"/>
  <c r="V112" i="22"/>
  <c r="U125" i="22"/>
  <c r="R125" i="22"/>
  <c r="Z125" i="22"/>
  <c r="S125" i="22"/>
  <c r="P125" i="22"/>
  <c r="V125" i="22"/>
  <c r="Y125" i="22"/>
  <c r="Z118" i="22"/>
  <c r="P118" i="22"/>
  <c r="S118" i="22"/>
  <c r="U118" i="22"/>
  <c r="Y118" i="22"/>
  <c r="V118" i="22"/>
  <c r="R118" i="22"/>
  <c r="E141" i="22" l="1"/>
  <c r="E144" i="22"/>
  <c r="S75" i="22"/>
  <c r="Y75" i="22"/>
  <c r="Z75" i="22"/>
  <c r="U75" i="22"/>
  <c r="V75" i="22"/>
  <c r="P75" i="22"/>
  <c r="R75" i="22"/>
  <c r="R131" i="22"/>
  <c r="U131" i="22"/>
  <c r="S131" i="22"/>
  <c r="P131" i="22"/>
  <c r="V131" i="22"/>
  <c r="Y131" i="22"/>
  <c r="Z131" i="22"/>
  <c r="U124" i="22"/>
  <c r="R124" i="22"/>
  <c r="P124" i="22"/>
  <c r="Y124" i="22"/>
  <c r="S124" i="22"/>
  <c r="V124" i="22"/>
  <c r="Z124" i="22"/>
  <c r="P112" i="22"/>
  <c r="U129" i="22" l="1"/>
  <c r="R129" i="22"/>
  <c r="Y129" i="22"/>
  <c r="F141" i="22"/>
  <c r="Z129" i="22"/>
  <c r="P129" i="22"/>
  <c r="V129" i="22"/>
  <c r="S129" i="22"/>
  <c r="U82" i="22"/>
  <c r="S82" i="22"/>
  <c r="P82" i="22"/>
  <c r="V82" i="22"/>
  <c r="Z82" i="22"/>
  <c r="Y82" i="22"/>
  <c r="R82" i="22"/>
  <c r="AB129" i="22" l="1"/>
</calcChain>
</file>

<file path=xl/sharedStrings.xml><?xml version="1.0" encoding="utf-8"?>
<sst xmlns="http://schemas.openxmlformats.org/spreadsheetml/2006/main" count="252" uniqueCount="236">
  <si>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</si>
  <si>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</si>
  <si>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</si>
  <si>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</si>
  <si>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</si>
  <si>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</si>
  <si>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</si>
  <si>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</si>
  <si>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</si>
  <si>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</si>
  <si>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</si>
  <si>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</si>
  <si>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</si>
  <si>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</si>
  <si>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</si>
  <si>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</si>
  <si>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</si>
  <si>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</si>
  <si>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</si>
  <si>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</si>
  <si>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</si>
  <si>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</si>
  <si>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</si>
  <si>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</si>
  <si>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</si>
  <si>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</si>
  <si>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</si>
  <si>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</si>
  <si>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</si>
  <si>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</si>
  <si>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</si>
  <si>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</si>
  <si>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</si>
  <si>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</si>
  <si>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</si>
  <si>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</si>
  <si>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</si>
  <si>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</si>
  <si>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</si>
  <si>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</si>
  <si>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</si>
  <si>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</si>
  <si>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</si>
  <si>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</si>
  <si>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</si>
  <si>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</si>
  <si>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</si>
  <si>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</si>
  <si>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</si>
  <si>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</si>
  <si>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</si>
  <si>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</si>
  <si>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</si>
  <si>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</si>
  <si>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</si>
  <si>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</si>
  <si>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</si>
  <si>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</si>
  <si>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</si>
  <si>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</si>
  <si>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</si>
  <si>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</si>
  <si>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</si>
  <si>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</si>
  <si>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</si>
  <si>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</si>
  <si>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</si>
  <si>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</si>
  <si>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</si>
  <si>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</si>
  <si>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</si>
  <si>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</si>
  <si>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</si>
  <si>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</si>
  <si>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</si>
  <si>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</si>
  <si>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</si>
  <si>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</si>
  <si>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</si>
  <si>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</si>
  <si>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</si>
  <si>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</si>
  <si>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</si>
  <si>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</si>
  <si>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</si>
  <si>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</si>
  <si>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</si>
  <si>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</si>
  <si>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</si>
  <si>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</si>
  <si>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</si>
  <si>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</si>
  <si>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</si>
  <si>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</si>
  <si>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</si>
  <si>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</si>
  <si>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</si>
  <si>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</si>
  <si>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</si>
  <si>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</si>
  <si>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</si>
  <si>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</si>
  <si>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</si>
  <si>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</si>
  <si>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</si>
  <si>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</si>
  <si>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</si>
  <si>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</si>
  <si>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</si>
  <si>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</si>
  <si>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</si>
  <si>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</si>
  <si>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</si>
  <si>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</si>
  <si>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</si>
  <si>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</si>
  <si>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</si>
  <si>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</si>
  <si>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</si>
  <si>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</si>
  <si>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</si>
  <si>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</si>
  <si>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</si>
  <si>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</si>
  <si>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</si>
  <si>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</si>
  <si>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</si>
  <si>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</si>
  <si>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</si>
  <si>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</si>
  <si>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</si>
  <si>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</si>
  <si>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</si>
  <si>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</si>
  <si>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</si>
  <si>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</si>
  <si>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</si>
  <si>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</si>
  <si>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</si>
  <si>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</si>
  <si>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</si>
  <si>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</si>
  <si>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</si>
  <si>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</si>
  <si>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</si>
  <si>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</si>
  <si>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</si>
  <si>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</si>
  <si>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</si>
  <si>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</si>
  <si>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</si>
  <si>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</si>
  <si>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</si>
  <si>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</si>
  <si>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</si>
  <si>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</si>
  <si>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</si>
  <si>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</si>
  <si>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</si>
  <si>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</si>
  <si>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</si>
  <si>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</si>
  <si>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</si>
  <si>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</si>
  <si>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</si>
  <si>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</si>
  <si>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</si>
  <si>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</si>
  <si>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</si>
  <si>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</si>
  <si>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</si>
  <si>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</si>
  <si>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квітень</t>
  </si>
  <si>
    <t>41051400</t>
  </si>
  <si>
    <t>41034500</t>
  </si>
  <si>
    <t>травень</t>
  </si>
  <si>
    <t>червень</t>
  </si>
  <si>
    <r>
      <t xml:space="preserve">Субвенція з сільського бюджету села Вінницькі Хутори Вінницького району </t>
    </r>
    <r>
      <rPr>
        <b/>
        <i/>
        <u/>
        <sz val="15"/>
        <rFont val="Times New Roman"/>
        <family val="1"/>
        <charset val="204"/>
      </rPr>
      <t>на капітальний ремонт дороги по вул. Войцехівського м.Вінниці</t>
    </r>
  </si>
  <si>
    <t>41052600</t>
  </si>
  <si>
    <t>6.5.</t>
  </si>
  <si>
    <t>липень</t>
  </si>
  <si>
    <t>План на січень - серпень 2021р. (розрахунковий)</t>
  </si>
  <si>
    <t xml:space="preserve">Відхилення надходжень до бюджету на січень - серпень 2021 року (розрахунковий)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</si>
  <si>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</si>
  <si>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</si>
  <si>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</si>
  <si>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</si>
  <si>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</si>
  <si>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</si>
  <si>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</si>
  <si>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</si>
  <si>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серпень</t>
  </si>
  <si>
    <t>Надійшло за січень - вересень 2021р.</t>
  </si>
  <si>
    <t>вересень</t>
  </si>
  <si>
    <t>41053000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</si>
  <si>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</si>
  <si>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</si>
  <si>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41032700</t>
  </si>
  <si>
    <t>Субвенція з державного бюджету місцевим бюджетам на реалізацію програми "Спроможна школа для кращих результатів"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</si>
  <si>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</si>
  <si>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</si>
  <si>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</si>
  <si>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</si>
  <si>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</si>
  <si>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</si>
  <si>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</si>
  <si>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</si>
  <si>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</si>
  <si>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</si>
  <si>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</si>
  <si>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</si>
  <si>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</si>
  <si>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</si>
  <si>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</si>
  <si>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</si>
  <si>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</si>
  <si>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t>субвенція з обласного бюджету громадській організації «Футбольний клуб «Нива – Вінниця» для підготовки та участі спортсменів в чемпіонаті України з футболу серед команд другої ліги</t>
  </si>
  <si>
    <r>
      <t>Субвенція з місцевого бюджету на здійснення переданих видатків у</t>
    </r>
    <r>
      <rPr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</si>
  <si>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</si>
  <si>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</si>
  <si>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Інші субвенції 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</si>
  <si>
    <t>17.1.</t>
  </si>
  <si>
    <t>17.2.</t>
  </si>
  <si>
    <t>17.3.</t>
  </si>
  <si>
    <t>17.4.</t>
  </si>
  <si>
    <t>17.5.</t>
  </si>
  <si>
    <t>17.6.</t>
  </si>
  <si>
    <t>17.7.</t>
  </si>
  <si>
    <t>План на січень - вересень 2021 року</t>
  </si>
  <si>
    <t>Відхилення надходжень до бюджету на січень - вересень 2021 року</t>
  </si>
  <si>
    <t>Надійшло за січень - вересень 2020р.</t>
  </si>
  <si>
    <t>Відхилення факту січня - вересня 2021р. від факту січня - вересня 2020р.</t>
  </si>
  <si>
    <t xml:space="preserve">% виконання до уточненого плану на 2021р. </t>
  </si>
  <si>
    <t>Наталія Луценко</t>
  </si>
  <si>
    <t>Аналіз виконання бюджету Вінницької міської територіальної громади по доходах за січень - вересень 2021 року</t>
  </si>
  <si>
    <t xml:space="preserve">Директор департаменту фінансів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</si>
</sst>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i/>
      <u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8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1" fillId="0" borderId="0"/>
    <xf numFmtId="0" fontId="36" fillId="0" borderId="0"/>
    <xf numFmtId="0" fontId="36" fillId="0" borderId="0"/>
    <xf numFmtId="0" fontId="49" fillId="0" borderId="0"/>
  </cellStyleXfs>
  <cellXfs count="209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0" fontId="39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49" fontId="42" fillId="0" borderId="1" xfId="2" applyNumberFormat="1" applyFont="1" applyFill="1" applyBorder="1" applyAlignment="1">
      <alignment horizontal="left" vertical="center" wrapText="1"/>
    </xf>
    <xf numFmtId="0" fontId="42" fillId="0" borderId="1" xfId="2" applyNumberFormat="1" applyFont="1" applyFill="1" applyBorder="1" applyAlignment="1">
      <alignment horizontal="left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43" fillId="0" borderId="1" xfId="3" applyNumberFormat="1" applyFont="1" applyFill="1" applyBorder="1" applyAlignment="1">
      <alignment horizontal="left" vertical="center" wrapText="1" shrinkToFit="1"/>
    </xf>
    <xf numFmtId="0" fontId="40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center" vertical="center" wrapText="1"/>
    </xf>
    <xf numFmtId="166" fontId="45" fillId="2" borderId="1" xfId="1" applyNumberFormat="1" applyFont="1" applyFill="1" applyBorder="1" applyAlignment="1">
      <alignment horizontal="center" vertical="center" wrapText="1"/>
    </xf>
    <xf numFmtId="166" fontId="45" fillId="2" borderId="1" xfId="3" applyNumberFormat="1" applyFont="1" applyFill="1" applyBorder="1" applyAlignment="1">
      <alignment horizontal="center" vertical="center"/>
    </xf>
    <xf numFmtId="164" fontId="45" fillId="2" borderId="1" xfId="3" applyNumberFormat="1" applyFont="1" applyFill="1" applyBorder="1" applyAlignment="1">
      <alignment horizontal="center" vertical="center"/>
    </xf>
    <xf numFmtId="166" fontId="44" fillId="2" borderId="0" xfId="1" applyNumberFormat="1" applyFont="1" applyFill="1" applyBorder="1"/>
    <xf numFmtId="0" fontId="44" fillId="2" borderId="0" xfId="1" applyFont="1" applyFill="1" applyBorder="1"/>
    <xf numFmtId="49" fontId="45" fillId="2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 wrapText="1"/>
    </xf>
    <xf numFmtId="49" fontId="45" fillId="0" borderId="1" xfId="1" applyNumberFormat="1" applyFont="1" applyFill="1" applyBorder="1" applyAlignment="1">
      <alignment horizontal="center" vertical="center" wrapText="1"/>
    </xf>
    <xf numFmtId="166" fontId="45" fillId="0" borderId="1" xfId="1" applyNumberFormat="1" applyFont="1" applyFill="1" applyBorder="1" applyAlignment="1">
      <alignment horizontal="center" vertical="center" wrapText="1"/>
    </xf>
    <xf numFmtId="166" fontId="45" fillId="0" borderId="1" xfId="3" applyNumberFormat="1" applyFont="1" applyFill="1" applyBorder="1" applyAlignment="1">
      <alignment horizontal="center" vertical="center"/>
    </xf>
    <xf numFmtId="164" fontId="45" fillId="0" borderId="1" xfId="3" applyNumberFormat="1" applyFont="1" applyFill="1" applyBorder="1" applyAlignment="1">
      <alignment horizontal="center" vertical="center"/>
    </xf>
    <xf numFmtId="0" fontId="44" fillId="0" borderId="0" xfId="1" applyFont="1" applyFill="1" applyBorder="1"/>
    <xf numFmtId="0" fontId="44" fillId="2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vertical="center"/>
    </xf>
    <xf numFmtId="0" fontId="45" fillId="0" borderId="1" xfId="1" applyFont="1" applyFill="1" applyBorder="1" applyAlignment="1">
      <alignment horizontal="left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6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6" fillId="0" borderId="0" xfId="1" applyFont="1" applyFill="1" applyBorder="1"/>
    <xf numFmtId="49" fontId="42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25" fillId="0" borderId="1" xfId="3" applyNumberFormat="1" applyFont="1" applyFill="1" applyBorder="1" applyAlignment="1">
      <alignment horizontal="justify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37" fillId="0" borderId="1" xfId="3" applyNumberFormat="1" applyFont="1" applyFill="1" applyBorder="1" applyAlignment="1">
      <alignment horizontal="justify" vertical="center" wrapText="1" shrinkToFi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25" fillId="0" borderId="1" xfId="2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2" fontId="34" fillId="0" borderId="1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9" fontId="12" fillId="0" borderId="1" xfId="3" applyNumberFormat="1" applyFont="1" applyFill="1" applyBorder="1" applyAlignment="1">
      <alignment horizontal="center" vertical="center" wrapText="1" shrinkToFit="1"/>
    </xf>
    <xf numFmtId="167" fontId="32" fillId="0" borderId="1" xfId="3" applyNumberFormat="1" applyFont="1" applyFill="1" applyBorder="1"/>
    <xf numFmtId="0" fontId="42" fillId="0" borderId="1" xfId="1" applyFont="1" applyFill="1" applyBorder="1" applyAlignment="1">
      <alignment horizontal="left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37" fillId="0" borderId="1" xfId="1" applyFont="1" applyFill="1" applyBorder="1" applyAlignment="1">
      <alignment horizontal="left" vertical="center" wrapText="1"/>
    </xf>
    <xf numFmtId="49" fontId="17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24" fillId="0" borderId="2" xfId="3" applyNumberFormat="1" applyFont="1" applyFill="1" applyBorder="1" applyAlignment="1">
      <alignment horizontal="center" vertical="center" wrapText="1"/>
    </xf>
    <xf numFmtId="49" fontId="24" fillId="0" borderId="0" xfId="3" applyNumberFormat="1" applyFont="1" applyFill="1" applyBorder="1" applyAlignment="1">
      <alignment horizontal="center" vertical="center" wrapText="1"/>
    </xf>
    <xf numFmtId="49" fontId="24" fillId="0" borderId="3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 wrapText="1"/>
    </xf>
    <xf numFmtId="49" fontId="21" fillId="0" borderId="0" xfId="3" applyNumberFormat="1" applyFont="1" applyFill="1" applyBorder="1" applyAlignment="1">
      <alignment horizontal="center" vertical="center" wrapText="1"/>
    </xf>
    <xf numFmtId="49" fontId="21" fillId="0" borderId="3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59"/>
  <sheetViews>
    <sheetView showGridLines="0" tabSelected="1" view="pageBreakPreview" zoomScale="60" zoomScaleNormal="75" workbookViewId="0">
      <pane xSplit="3" ySplit="6" topLeftCell="D129" activePane="bottomRight" state="frozen"/>
      <selection pane="topRight" activeCell="D1" sqref="D1"/>
      <selection pane="bottomLeft" activeCell="A7" sqref="A7"/>
      <selection pane="bottomRight" activeCell="B157" sqref="B157"/>
    </sheetView>
  </sheetViews>
  <sheetFormatPr defaultColWidth="9.140625" defaultRowHeight="12.75" x14ac:dyDescent="0.2"/>
  <cols>
    <col min="1" max="1" width="12.28515625" style="17" customWidth="1"/>
    <col min="2" max="2" width="97.140625" style="17" customWidth="1"/>
    <col min="3" max="3" width="16.140625" style="17" customWidth="1"/>
    <col min="4" max="4" width="24.140625" style="17" bestFit="1" customWidth="1"/>
    <col min="5" max="5" width="24.140625" style="17" customWidth="1"/>
    <col min="6" max="6" width="24.140625" style="168" customWidth="1"/>
    <col min="7" max="15" width="21.28515625" style="168" hidden="1" customWidth="1"/>
    <col min="16" max="16" width="14.85546875" style="1" customWidth="1"/>
    <col min="17" max="17" width="24.140625" style="168" hidden="1" customWidth="1"/>
    <col min="18" max="18" width="22.28515625" style="1" hidden="1" customWidth="1"/>
    <col min="19" max="19" width="14" style="1" hidden="1" customWidth="1"/>
    <col min="20" max="20" width="24.140625" style="1" hidden="1" customWidth="1"/>
    <col min="21" max="21" width="22.5703125" style="1" hidden="1" customWidth="1"/>
    <col min="22" max="22" width="10.140625" style="1" hidden="1" customWidth="1"/>
    <col min="23" max="23" width="0" hidden="1" customWidth="1"/>
    <col min="24" max="24" width="24.140625" style="168" customWidth="1"/>
    <col min="25" max="25" width="21.28515625" style="1" customWidth="1"/>
    <col min="26" max="26" width="12.5703125" style="168" customWidth="1"/>
    <col min="27" max="27" width="24.140625" style="168" hidden="1" customWidth="1"/>
    <col min="28" max="28" width="20.42578125" style="168" hidden="1" customWidth="1"/>
    <col min="29" max="29" width="15.85546875" style="168" hidden="1" customWidth="1"/>
    <col min="30" max="30" width="12.28515625" style="168" hidden="1" customWidth="1"/>
    <col min="31" max="31" width="21.28515625" style="168" hidden="1" customWidth="1"/>
    <col min="32" max="32" width="9.140625" style="168"/>
    <col min="33" max="33" width="15.140625" style="168" hidden="1" customWidth="1"/>
    <col min="34" max="16384" width="9.140625" style="168"/>
  </cols>
  <sheetData>
    <row r="1" spans="1:41" ht="30" customHeight="1" x14ac:dyDescent="0.2">
      <c r="A1" s="191" t="s">
        <v>234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41" ht="18.75" x14ac:dyDescent="0.3">
      <c r="A2" s="18" t="s">
        <v>48</v>
      </c>
      <c r="B2" s="169"/>
      <c r="C2" s="169"/>
      <c r="D2" s="80"/>
      <c r="E2" s="169"/>
      <c r="F2" s="80"/>
      <c r="G2" s="169"/>
      <c r="H2" s="169"/>
      <c r="I2" s="169"/>
      <c r="J2" s="169"/>
      <c r="K2" s="169"/>
      <c r="L2" s="169"/>
      <c r="M2" s="169"/>
      <c r="N2" s="169"/>
      <c r="O2" s="169"/>
      <c r="Q2" s="80"/>
      <c r="X2" s="80"/>
      <c r="Y2" s="3" t="s">
        <v>13</v>
      </c>
      <c r="Z2" s="3"/>
    </row>
    <row r="3" spans="1:41" s="52" customFormat="1" ht="15" customHeight="1" x14ac:dyDescent="0.25">
      <c r="A3" s="195" t="s">
        <v>0</v>
      </c>
      <c r="B3" s="208" t="s">
        <v>1</v>
      </c>
      <c r="C3" s="208" t="s">
        <v>2</v>
      </c>
      <c r="D3" s="193" t="s">
        <v>140</v>
      </c>
      <c r="E3" s="193" t="s">
        <v>141</v>
      </c>
      <c r="F3" s="193" t="s">
        <v>192</v>
      </c>
      <c r="G3" s="193" t="s">
        <v>64</v>
      </c>
      <c r="H3" s="193" t="s">
        <v>155</v>
      </c>
      <c r="I3" s="193" t="s">
        <v>165</v>
      </c>
      <c r="J3" s="193" t="s">
        <v>172</v>
      </c>
      <c r="K3" s="193" t="s">
        <v>175</v>
      </c>
      <c r="L3" s="193" t="s">
        <v>176</v>
      </c>
      <c r="M3" s="193" t="s">
        <v>180</v>
      </c>
      <c r="N3" s="193" t="s">
        <v>191</v>
      </c>
      <c r="O3" s="193" t="s">
        <v>193</v>
      </c>
      <c r="P3" s="194" t="s">
        <v>232</v>
      </c>
      <c r="Q3" s="193" t="s">
        <v>228</v>
      </c>
      <c r="R3" s="193" t="s">
        <v>229</v>
      </c>
      <c r="S3" s="193" t="s">
        <v>3</v>
      </c>
      <c r="T3" s="193" t="s">
        <v>181</v>
      </c>
      <c r="U3" s="193" t="s">
        <v>182</v>
      </c>
      <c r="V3" s="193" t="s">
        <v>3</v>
      </c>
      <c r="X3" s="193" t="s">
        <v>230</v>
      </c>
      <c r="Y3" s="193" t="s">
        <v>231</v>
      </c>
      <c r="Z3" s="193" t="s">
        <v>3</v>
      </c>
    </row>
    <row r="4" spans="1:41" s="52" customFormat="1" ht="90.75" customHeight="1" x14ac:dyDescent="0.25">
      <c r="A4" s="195"/>
      <c r="B4" s="208"/>
      <c r="C4" s="20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4"/>
      <c r="Q4" s="193"/>
      <c r="R4" s="193"/>
      <c r="S4" s="193"/>
      <c r="T4" s="193"/>
      <c r="U4" s="193"/>
      <c r="V4" s="193"/>
      <c r="X4" s="193"/>
      <c r="Y4" s="193"/>
      <c r="Z4" s="193"/>
    </row>
    <row r="5" spans="1:41" s="55" customFormat="1" ht="20.25" x14ac:dyDescent="0.2">
      <c r="A5" s="53" t="s">
        <v>4</v>
      </c>
      <c r="B5" s="148" t="s">
        <v>5</v>
      </c>
      <c r="C5" s="148">
        <f>B5+1</f>
        <v>3</v>
      </c>
      <c r="D5" s="148">
        <f t="shared" ref="D5:E5" si="0">C5+1</f>
        <v>4</v>
      </c>
      <c r="E5" s="148">
        <f t="shared" si="0"/>
        <v>5</v>
      </c>
      <c r="F5" s="148">
        <f t="shared" ref="F5" si="1">E5+1</f>
        <v>6</v>
      </c>
      <c r="G5" s="148">
        <f t="shared" ref="G5" si="2">F5+1</f>
        <v>7</v>
      </c>
      <c r="H5" s="148">
        <f t="shared" ref="H5" si="3">G5+1</f>
        <v>8</v>
      </c>
      <c r="I5" s="148">
        <f t="shared" ref="I5" si="4">H5+1</f>
        <v>9</v>
      </c>
      <c r="J5" s="148">
        <f t="shared" ref="J5" si="5">I5+1</f>
        <v>10</v>
      </c>
      <c r="K5" s="148">
        <f t="shared" ref="K5" si="6">J5+1</f>
        <v>11</v>
      </c>
      <c r="L5" s="148">
        <f t="shared" ref="L5" si="7">K5+1</f>
        <v>12</v>
      </c>
      <c r="M5" s="148">
        <f t="shared" ref="M5" si="8">L5+1</f>
        <v>13</v>
      </c>
      <c r="N5" s="148">
        <f t="shared" ref="N5" si="9">M5+1</f>
        <v>14</v>
      </c>
      <c r="O5" s="148">
        <f t="shared" ref="O5" si="10">N5+1</f>
        <v>15</v>
      </c>
      <c r="P5" s="148">
        <v>7</v>
      </c>
      <c r="Q5" s="148">
        <v>8</v>
      </c>
      <c r="R5" s="148">
        <f t="shared" ref="R5" si="11">Q5+1</f>
        <v>9</v>
      </c>
      <c r="S5" s="148">
        <f t="shared" ref="S5" si="12">R5+1</f>
        <v>10</v>
      </c>
      <c r="T5" s="148">
        <f t="shared" ref="T5" si="13">S5+1</f>
        <v>11</v>
      </c>
      <c r="U5" s="148">
        <f t="shared" ref="U5" si="14">T5+1</f>
        <v>12</v>
      </c>
      <c r="V5" s="148">
        <f t="shared" ref="V5" si="15">U5+1</f>
        <v>13</v>
      </c>
      <c r="X5" s="148">
        <v>11</v>
      </c>
      <c r="Y5" s="148">
        <f t="shared" ref="Y5" si="16">X5+1</f>
        <v>12</v>
      </c>
      <c r="Z5" s="148">
        <f t="shared" ref="Z5" si="17">Y5+1</f>
        <v>13</v>
      </c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</row>
    <row r="6" spans="1:41" s="56" customFormat="1" ht="26.25" customHeight="1" x14ac:dyDescent="0.2">
      <c r="A6" s="196" t="s">
        <v>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8"/>
    </row>
    <row r="7" spans="1:41" s="151" customFormat="1" ht="29.25" customHeight="1" x14ac:dyDescent="0.25">
      <c r="A7" s="149">
        <v>1</v>
      </c>
      <c r="B7" s="63" t="s">
        <v>68</v>
      </c>
      <c r="C7" s="150" t="s">
        <v>14</v>
      </c>
      <c r="D7" s="154">
        <v>2398057.0789999999</v>
      </c>
      <c r="E7" s="154">
        <v>2398057.0789999999</v>
      </c>
      <c r="F7" s="154">
        <f t="shared" ref="F7:F13" si="18">SUM(G7:O7)</f>
        <v>1697964.4240000003</v>
      </c>
      <c r="G7" s="154">
        <v>146999.421</v>
      </c>
      <c r="H7" s="154">
        <v>179706.05300000001</v>
      </c>
      <c r="I7" s="154">
        <v>188112.742</v>
      </c>
      <c r="J7" s="154">
        <v>196904.038</v>
      </c>
      <c r="K7" s="154">
        <v>184793.12400000001</v>
      </c>
      <c r="L7" s="154">
        <v>216858.70499999999</v>
      </c>
      <c r="M7" s="154">
        <v>196563.59700000001</v>
      </c>
      <c r="N7" s="154">
        <v>190260.019</v>
      </c>
      <c r="O7" s="154">
        <v>197766.72500000001</v>
      </c>
      <c r="P7" s="157">
        <f t="shared" ref="P7:P23" si="19">F7/E7*100</f>
        <v>70.805838562777609</v>
      </c>
      <c r="Q7" s="155">
        <v>1562504.882</v>
      </c>
      <c r="R7" s="156">
        <f t="shared" ref="R7:R38" si="20">F7-Q7</f>
        <v>135459.54200000037</v>
      </c>
      <c r="S7" s="157">
        <f t="shared" ref="S7:S23" si="21">F7/Q7*100</f>
        <v>108.66938360068434</v>
      </c>
      <c r="T7" s="156">
        <f>E7/12*9</f>
        <v>1798542.8092499999</v>
      </c>
      <c r="U7" s="156">
        <f t="shared" ref="U7:U38" si="22">F7-T7</f>
        <v>-100578.38524999958</v>
      </c>
      <c r="V7" s="157">
        <f t="shared" ref="V7:V23" si="23">F7/T7*100</f>
        <v>94.407784750370155</v>
      </c>
      <c r="X7" s="154">
        <v>1395187.19</v>
      </c>
      <c r="Y7" s="156">
        <f t="shared" ref="Y7:Y38" si="24">F7-X7</f>
        <v>302777.2340000004</v>
      </c>
      <c r="Z7" s="157">
        <f>F7/X7*100</f>
        <v>121.70154916631657</v>
      </c>
      <c r="AA7" s="57"/>
      <c r="AB7" s="57"/>
      <c r="AC7" s="57">
        <f>AA7-AB7</f>
        <v>0</v>
      </c>
      <c r="AD7" s="58" t="e">
        <f>AA7/AB7*100</f>
        <v>#DIV/0!</v>
      </c>
    </row>
    <row r="8" spans="1:41" s="151" customFormat="1" ht="39" x14ac:dyDescent="0.25">
      <c r="A8" s="149">
        <f>A7+1</f>
        <v>2</v>
      </c>
      <c r="B8" s="63" t="s">
        <v>35</v>
      </c>
      <c r="C8" s="150" t="s">
        <v>16</v>
      </c>
      <c r="D8" s="154">
        <v>1100</v>
      </c>
      <c r="E8" s="154">
        <v>1100</v>
      </c>
      <c r="F8" s="154">
        <f t="shared" si="18"/>
        <v>787.23100000000011</v>
      </c>
      <c r="G8" s="154">
        <v>70</v>
      </c>
      <c r="H8" s="154">
        <v>377.19400000000002</v>
      </c>
      <c r="I8" s="154">
        <v>102.018</v>
      </c>
      <c r="J8" s="154">
        <v>56.6</v>
      </c>
      <c r="K8" s="154">
        <v>69.45</v>
      </c>
      <c r="L8" s="154">
        <v>0</v>
      </c>
      <c r="M8" s="154">
        <v>23.594999999999999</v>
      </c>
      <c r="N8" s="154">
        <v>88.373999999999995</v>
      </c>
      <c r="O8" s="154">
        <v>0</v>
      </c>
      <c r="P8" s="157">
        <f t="shared" si="19"/>
        <v>71.566454545454548</v>
      </c>
      <c r="Q8" s="155">
        <v>784</v>
      </c>
      <c r="R8" s="156">
        <f t="shared" si="20"/>
        <v>3.2310000000001082</v>
      </c>
      <c r="S8" s="157">
        <f t="shared" si="21"/>
        <v>100.41211734693877</v>
      </c>
      <c r="T8" s="156">
        <f t="shared" ref="T8:T46" si="25">E8/12*9</f>
        <v>825</v>
      </c>
      <c r="U8" s="156">
        <f t="shared" si="22"/>
        <v>-37.768999999999892</v>
      </c>
      <c r="V8" s="157">
        <f t="shared" si="23"/>
        <v>95.421939393939397</v>
      </c>
      <c r="X8" s="154">
        <v>856.94299999999998</v>
      </c>
      <c r="Y8" s="156">
        <f t="shared" si="24"/>
        <v>-69.711999999999875</v>
      </c>
      <c r="Z8" s="157">
        <f>F8/X8*100</f>
        <v>91.865036531017836</v>
      </c>
      <c r="AA8" s="57"/>
      <c r="AB8" s="57"/>
      <c r="AC8" s="57">
        <f>X7/0.5</f>
        <v>2790374.38</v>
      </c>
      <c r="AD8" s="58">
        <f>AB8/AC8*100</f>
        <v>0</v>
      </c>
    </row>
    <row r="9" spans="1:41" s="151" customFormat="1" ht="23.25" x14ac:dyDescent="0.25">
      <c r="A9" s="149">
        <v>3</v>
      </c>
      <c r="B9" s="63" t="s">
        <v>113</v>
      </c>
      <c r="C9" s="150" t="s">
        <v>114</v>
      </c>
      <c r="D9" s="154">
        <f>SUM(D11:D13)</f>
        <v>506.88</v>
      </c>
      <c r="E9" s="154">
        <f>SUM(E10:E13)</f>
        <v>515.38</v>
      </c>
      <c r="F9" s="154">
        <f t="shared" si="18"/>
        <v>342.065</v>
      </c>
      <c r="G9" s="154">
        <f t="shared" ref="G9:Q9" si="26">SUM(G10:G13)</f>
        <v>0.54200000000000004</v>
      </c>
      <c r="H9" s="154">
        <f t="shared" si="26"/>
        <v>122.19999999999999</v>
      </c>
      <c r="I9" s="154">
        <f t="shared" si="26"/>
        <v>2.044</v>
      </c>
      <c r="J9" s="154">
        <f t="shared" si="26"/>
        <v>2.8140000000000001</v>
      </c>
      <c r="K9" s="154">
        <f t="shared" ref="K9:N9" si="27">SUM(K10:K13)</f>
        <v>85.728000000000009</v>
      </c>
      <c r="L9" s="154">
        <f t="shared" si="27"/>
        <v>0</v>
      </c>
      <c r="M9" s="154">
        <f t="shared" si="27"/>
        <v>47.101999999999997</v>
      </c>
      <c r="N9" s="154">
        <f t="shared" si="27"/>
        <v>81.548000000000002</v>
      </c>
      <c r="O9" s="154">
        <f t="shared" si="26"/>
        <v>8.6999999999999994E-2</v>
      </c>
      <c r="P9" s="157">
        <f t="shared" si="19"/>
        <v>66.371415266405378</v>
      </c>
      <c r="Q9" s="155">
        <f t="shared" si="26"/>
        <v>341.125</v>
      </c>
      <c r="R9" s="156">
        <f t="shared" si="20"/>
        <v>0.93999999999999773</v>
      </c>
      <c r="S9" s="157">
        <f t="shared" si="21"/>
        <v>100.27555881275192</v>
      </c>
      <c r="T9" s="156">
        <f t="shared" si="25"/>
        <v>386.53499999999997</v>
      </c>
      <c r="U9" s="156">
        <f t="shared" si="22"/>
        <v>-44.46999999999997</v>
      </c>
      <c r="V9" s="157">
        <f t="shared" si="23"/>
        <v>88.495220355207167</v>
      </c>
      <c r="X9" s="154">
        <f>SUM(X10:X13)</f>
        <v>334.88299999999998</v>
      </c>
      <c r="Y9" s="156">
        <f t="shared" si="24"/>
        <v>7.1820000000000164</v>
      </c>
      <c r="Z9" s="157">
        <f>F9/X9*100</f>
        <v>102.14462961691098</v>
      </c>
      <c r="AA9" s="57"/>
      <c r="AB9" s="57"/>
      <c r="AC9" s="57"/>
      <c r="AD9" s="58"/>
    </row>
    <row r="10" spans="1:41" s="62" customFormat="1" ht="39" x14ac:dyDescent="0.25">
      <c r="A10" s="59" t="s">
        <v>115</v>
      </c>
      <c r="B10" s="134" t="s">
        <v>157</v>
      </c>
      <c r="C10" s="51" t="s">
        <v>156</v>
      </c>
      <c r="D10" s="158">
        <v>0</v>
      </c>
      <c r="E10" s="158">
        <f>8.5+14</f>
        <v>22.5</v>
      </c>
      <c r="F10" s="158">
        <f t="shared" si="18"/>
        <v>17.615000000000002</v>
      </c>
      <c r="G10" s="158">
        <v>0</v>
      </c>
      <c r="H10" s="158">
        <v>8.5120000000000005</v>
      </c>
      <c r="I10" s="158">
        <v>0</v>
      </c>
      <c r="J10" s="158">
        <v>0</v>
      </c>
      <c r="K10" s="158">
        <v>4.5519999999999996</v>
      </c>
      <c r="L10" s="158">
        <v>0</v>
      </c>
      <c r="M10" s="158">
        <v>0</v>
      </c>
      <c r="N10" s="158">
        <v>4.5510000000000002</v>
      </c>
      <c r="O10" s="158">
        <v>0</v>
      </c>
      <c r="P10" s="159">
        <f t="shared" si="19"/>
        <v>78.288888888888891</v>
      </c>
      <c r="Q10" s="97">
        <v>17.600000000000001</v>
      </c>
      <c r="R10" s="98">
        <f t="shared" si="20"/>
        <v>1.5000000000000568E-2</v>
      </c>
      <c r="S10" s="159">
        <f t="shared" si="21"/>
        <v>100.08522727272728</v>
      </c>
      <c r="T10" s="98">
        <f t="shared" si="25"/>
        <v>16.875</v>
      </c>
      <c r="U10" s="98">
        <f t="shared" si="22"/>
        <v>0.74000000000000199</v>
      </c>
      <c r="V10" s="159">
        <f t="shared" si="23"/>
        <v>104.38518518518521</v>
      </c>
      <c r="X10" s="158">
        <v>0</v>
      </c>
      <c r="Y10" s="98">
        <f t="shared" si="24"/>
        <v>17.615000000000002</v>
      </c>
      <c r="Z10" s="159"/>
    </row>
    <row r="11" spans="1:41" s="62" customFormat="1" ht="58.5" x14ac:dyDescent="0.25">
      <c r="A11" s="59" t="s">
        <v>116</v>
      </c>
      <c r="B11" s="134" t="s">
        <v>107</v>
      </c>
      <c r="C11" s="51" t="s">
        <v>108</v>
      </c>
      <c r="D11" s="158">
        <v>166.79</v>
      </c>
      <c r="E11" s="158">
        <v>166.79</v>
      </c>
      <c r="F11" s="158">
        <f t="shared" si="18"/>
        <v>115.65200000000002</v>
      </c>
      <c r="G11" s="158">
        <v>0</v>
      </c>
      <c r="H11" s="158">
        <v>53.468000000000004</v>
      </c>
      <c r="I11" s="158">
        <v>0</v>
      </c>
      <c r="J11" s="158">
        <v>0</v>
      </c>
      <c r="K11" s="158">
        <v>14.064</v>
      </c>
      <c r="L11" s="158">
        <v>0</v>
      </c>
      <c r="M11" s="158">
        <v>45.820999999999998</v>
      </c>
      <c r="N11" s="158">
        <v>2.2989999999999999</v>
      </c>
      <c r="O11" s="158">
        <v>0</v>
      </c>
      <c r="P11" s="159">
        <f t="shared" si="19"/>
        <v>69.339888482522952</v>
      </c>
      <c r="Q11" s="97">
        <v>115.5</v>
      </c>
      <c r="R11" s="98">
        <f t="shared" si="20"/>
        <v>0.15200000000001523</v>
      </c>
      <c r="S11" s="159">
        <f t="shared" si="21"/>
        <v>100.13160173160173</v>
      </c>
      <c r="T11" s="98">
        <f t="shared" si="25"/>
        <v>125.0925</v>
      </c>
      <c r="U11" s="98">
        <f t="shared" si="22"/>
        <v>-9.4404999999999859</v>
      </c>
      <c r="V11" s="159">
        <f t="shared" si="23"/>
        <v>92.453184643363912</v>
      </c>
      <c r="X11" s="158">
        <v>80.099999999999994</v>
      </c>
      <c r="Y11" s="98">
        <f t="shared" si="24"/>
        <v>35.552000000000021</v>
      </c>
      <c r="Z11" s="159">
        <f t="shared" ref="Z11:Z23" si="28">F11/X11*100</f>
        <v>144.3845193508115</v>
      </c>
    </row>
    <row r="12" spans="1:41" s="62" customFormat="1" ht="39" x14ac:dyDescent="0.25">
      <c r="A12" s="59" t="s">
        <v>117</v>
      </c>
      <c r="B12" s="134" t="s">
        <v>144</v>
      </c>
      <c r="C12" s="51" t="s">
        <v>112</v>
      </c>
      <c r="D12" s="158">
        <v>82.45</v>
      </c>
      <c r="E12" s="158">
        <v>82.45</v>
      </c>
      <c r="F12" s="158">
        <f t="shared" si="18"/>
        <v>56.196000000000005</v>
      </c>
      <c r="G12" s="158">
        <v>0.54200000000000004</v>
      </c>
      <c r="H12" s="158">
        <v>16.192</v>
      </c>
      <c r="I12" s="158">
        <v>4.4999999999999998E-2</v>
      </c>
      <c r="J12" s="158">
        <v>2.8140000000000001</v>
      </c>
      <c r="K12" s="158">
        <v>12.21</v>
      </c>
      <c r="L12" s="158">
        <v>0</v>
      </c>
      <c r="M12" s="158">
        <v>1.2809999999999999</v>
      </c>
      <c r="N12" s="158">
        <v>23.024999999999999</v>
      </c>
      <c r="O12" s="158">
        <v>8.6999999999999994E-2</v>
      </c>
      <c r="P12" s="159">
        <f t="shared" si="19"/>
        <v>68.157671315949059</v>
      </c>
      <c r="Q12" s="97">
        <v>56.125</v>
      </c>
      <c r="R12" s="98">
        <f t="shared" si="20"/>
        <v>7.1000000000005059E-2</v>
      </c>
      <c r="S12" s="159">
        <f t="shared" si="21"/>
        <v>100.12650334075725</v>
      </c>
      <c r="T12" s="98">
        <f t="shared" si="25"/>
        <v>61.837500000000006</v>
      </c>
      <c r="U12" s="98">
        <f t="shared" si="22"/>
        <v>-5.6415000000000006</v>
      </c>
      <c r="V12" s="159">
        <f t="shared" si="23"/>
        <v>90.87689508793207</v>
      </c>
      <c r="X12" s="158">
        <v>56.948999999999998</v>
      </c>
      <c r="Y12" s="98">
        <f t="shared" si="24"/>
        <v>-0.75299999999999301</v>
      </c>
      <c r="Z12" s="159">
        <f t="shared" si="28"/>
        <v>98.677764315440143</v>
      </c>
    </row>
    <row r="13" spans="1:41" s="62" customFormat="1" ht="39" x14ac:dyDescent="0.25">
      <c r="A13" s="59" t="s">
        <v>158</v>
      </c>
      <c r="B13" s="134" t="s">
        <v>143</v>
      </c>
      <c r="C13" s="51" t="s">
        <v>142</v>
      </c>
      <c r="D13" s="158">
        <v>257.64</v>
      </c>
      <c r="E13" s="158">
        <f>257.64-14</f>
        <v>243.64</v>
      </c>
      <c r="F13" s="158">
        <f t="shared" si="18"/>
        <v>152.602</v>
      </c>
      <c r="G13" s="158">
        <v>0</v>
      </c>
      <c r="H13" s="158">
        <v>44.027999999999999</v>
      </c>
      <c r="I13" s="158">
        <v>1.9990000000000001</v>
      </c>
      <c r="J13" s="158">
        <v>0</v>
      </c>
      <c r="K13" s="158">
        <v>54.902000000000001</v>
      </c>
      <c r="L13" s="158">
        <v>0</v>
      </c>
      <c r="M13" s="158">
        <v>0</v>
      </c>
      <c r="N13" s="158">
        <v>51.673000000000002</v>
      </c>
      <c r="O13" s="158">
        <v>0</v>
      </c>
      <c r="P13" s="159">
        <f t="shared" si="19"/>
        <v>62.634214414710229</v>
      </c>
      <c r="Q13" s="97">
        <v>151.9</v>
      </c>
      <c r="R13" s="98">
        <f t="shared" si="20"/>
        <v>0.70199999999999818</v>
      </c>
      <c r="S13" s="159">
        <f t="shared" si="21"/>
        <v>100.46214614878208</v>
      </c>
      <c r="T13" s="98">
        <f t="shared" si="25"/>
        <v>182.73</v>
      </c>
      <c r="U13" s="98">
        <f t="shared" si="22"/>
        <v>-30.127999999999986</v>
      </c>
      <c r="V13" s="159">
        <f t="shared" si="23"/>
        <v>83.51228588628031</v>
      </c>
      <c r="X13" s="158">
        <v>197.834</v>
      </c>
      <c r="Y13" s="98">
        <f t="shared" si="24"/>
        <v>-45.231999999999999</v>
      </c>
      <c r="Z13" s="159">
        <f t="shared" si="28"/>
        <v>77.13638707198966</v>
      </c>
    </row>
    <row r="14" spans="1:41" s="151" customFormat="1" ht="23.25" x14ac:dyDescent="0.25">
      <c r="A14" s="149">
        <v>4</v>
      </c>
      <c r="B14" s="85" t="s">
        <v>94</v>
      </c>
      <c r="C14" s="81" t="s">
        <v>93</v>
      </c>
      <c r="D14" s="154">
        <f>SUM(D15:D17)</f>
        <v>247766</v>
      </c>
      <c r="E14" s="154">
        <f>SUM(E15:E17)</f>
        <v>247766</v>
      </c>
      <c r="F14" s="154">
        <f t="shared" ref="F14:F82" si="29">SUM(G14:O14)</f>
        <v>155311.43599999999</v>
      </c>
      <c r="G14" s="154">
        <f t="shared" ref="G14:Q14" si="30">SUM(G15:G17)</f>
        <v>9113.7909999999993</v>
      </c>
      <c r="H14" s="154">
        <f t="shared" ref="H14:N14" si="31">SUM(H15:H17)</f>
        <v>6708.6930000000002</v>
      </c>
      <c r="I14" s="154">
        <f t="shared" si="31"/>
        <v>36301.611000000004</v>
      </c>
      <c r="J14" s="154">
        <f t="shared" si="31"/>
        <v>18813.798999999999</v>
      </c>
      <c r="K14" s="154">
        <f t="shared" si="31"/>
        <v>19997.205999999998</v>
      </c>
      <c r="L14" s="154">
        <f t="shared" si="31"/>
        <v>20472.231999999996</v>
      </c>
      <c r="M14" s="154">
        <f t="shared" si="31"/>
        <v>12117.133</v>
      </c>
      <c r="N14" s="154">
        <f t="shared" si="31"/>
        <v>13721.071</v>
      </c>
      <c r="O14" s="154">
        <f t="shared" si="30"/>
        <v>18065.900000000001</v>
      </c>
      <c r="P14" s="157">
        <f t="shared" si="19"/>
        <v>62.684725103525096</v>
      </c>
      <c r="Q14" s="155">
        <f t="shared" si="30"/>
        <v>152353.378</v>
      </c>
      <c r="R14" s="156">
        <f t="shared" si="20"/>
        <v>2958.05799999999</v>
      </c>
      <c r="S14" s="157">
        <f t="shared" si="21"/>
        <v>101.94157690418915</v>
      </c>
      <c r="T14" s="156">
        <f t="shared" si="25"/>
        <v>185824.5</v>
      </c>
      <c r="U14" s="156">
        <f t="shared" si="22"/>
        <v>-30513.064000000013</v>
      </c>
      <c r="V14" s="157">
        <f t="shared" si="23"/>
        <v>83.579633471366805</v>
      </c>
      <c r="X14" s="154">
        <f t="shared" ref="X14" si="32">SUM(X15:X17)</f>
        <v>170649.334</v>
      </c>
      <c r="Y14" s="156">
        <f t="shared" si="24"/>
        <v>-15337.898000000016</v>
      </c>
      <c r="Z14" s="157">
        <f t="shared" si="28"/>
        <v>91.012037585801536</v>
      </c>
    </row>
    <row r="15" spans="1:41" s="62" customFormat="1" ht="39" x14ac:dyDescent="0.25">
      <c r="A15" s="59" t="s">
        <v>130</v>
      </c>
      <c r="B15" s="134" t="s">
        <v>100</v>
      </c>
      <c r="C15" s="51" t="s">
        <v>91</v>
      </c>
      <c r="D15" s="158">
        <v>25500</v>
      </c>
      <c r="E15" s="158">
        <v>25500</v>
      </c>
      <c r="F15" s="158">
        <f>SUM(G15:O15)</f>
        <v>13356.534</v>
      </c>
      <c r="G15" s="158">
        <v>0</v>
      </c>
      <c r="H15" s="158">
        <v>0</v>
      </c>
      <c r="I15" s="158">
        <v>6236.9179999999997</v>
      </c>
      <c r="J15" s="158">
        <v>2120.248</v>
      </c>
      <c r="K15" s="158">
        <v>2421.9479999999999</v>
      </c>
      <c r="L15" s="158">
        <v>2577.42</v>
      </c>
      <c r="M15" s="158">
        <v>0</v>
      </c>
      <c r="N15" s="158">
        <v>0</v>
      </c>
      <c r="O15" s="158">
        <v>0</v>
      </c>
      <c r="P15" s="159">
        <f t="shared" si="19"/>
        <v>52.378564705882347</v>
      </c>
      <c r="Q15" s="97">
        <v>13349.44</v>
      </c>
      <c r="R15" s="98">
        <f t="shared" si="20"/>
        <v>7.0939999999991414</v>
      </c>
      <c r="S15" s="159">
        <f t="shared" si="21"/>
        <v>100.05314080590647</v>
      </c>
      <c r="T15" s="98">
        <f t="shared" si="25"/>
        <v>19125</v>
      </c>
      <c r="U15" s="98">
        <f t="shared" si="22"/>
        <v>-5768.4660000000003</v>
      </c>
      <c r="V15" s="159">
        <f t="shared" si="23"/>
        <v>69.838086274509806</v>
      </c>
      <c r="X15" s="158">
        <v>17410.543000000001</v>
      </c>
      <c r="Y15" s="98">
        <f t="shared" si="24"/>
        <v>-4054.0090000000018</v>
      </c>
      <c r="Z15" s="159">
        <f t="shared" si="28"/>
        <v>76.715206412574261</v>
      </c>
      <c r="AA15" s="60">
        <f>X15+X16</f>
        <v>78350.686000000002</v>
      </c>
      <c r="AB15" s="60">
        <f>F15+F16</f>
        <v>58717.851999999999</v>
      </c>
    </row>
    <row r="16" spans="1:41" s="62" customFormat="1" ht="39" x14ac:dyDescent="0.25">
      <c r="A16" s="59" t="s">
        <v>131</v>
      </c>
      <c r="B16" s="134" t="s">
        <v>101</v>
      </c>
      <c r="C16" s="51" t="s">
        <v>92</v>
      </c>
      <c r="D16" s="158">
        <v>87500</v>
      </c>
      <c r="E16" s="158">
        <v>87500</v>
      </c>
      <c r="F16" s="158">
        <f t="shared" si="29"/>
        <v>45361.317999999999</v>
      </c>
      <c r="G16" s="158">
        <v>0</v>
      </c>
      <c r="H16" s="158">
        <v>0</v>
      </c>
      <c r="I16" s="158">
        <v>21013.128000000001</v>
      </c>
      <c r="J16" s="158">
        <v>8063.9430000000002</v>
      </c>
      <c r="K16" s="158">
        <v>8167.2610000000004</v>
      </c>
      <c r="L16" s="158">
        <v>8116.9859999999999</v>
      </c>
      <c r="M16" s="158">
        <v>0</v>
      </c>
      <c r="N16" s="158">
        <v>0</v>
      </c>
      <c r="O16" s="158">
        <v>0</v>
      </c>
      <c r="P16" s="159">
        <f t="shared" si="19"/>
        <v>51.841506285714289</v>
      </c>
      <c r="Q16" s="97">
        <v>45325</v>
      </c>
      <c r="R16" s="98">
        <f t="shared" si="20"/>
        <v>36.317999999999302</v>
      </c>
      <c r="S16" s="159">
        <f t="shared" si="21"/>
        <v>100.08012796469939</v>
      </c>
      <c r="T16" s="98">
        <f t="shared" si="25"/>
        <v>65625</v>
      </c>
      <c r="U16" s="98">
        <f t="shared" si="22"/>
        <v>-20263.682000000001</v>
      </c>
      <c r="V16" s="159">
        <f t="shared" si="23"/>
        <v>69.12200838095238</v>
      </c>
      <c r="X16" s="158">
        <v>60940.143000000004</v>
      </c>
      <c r="Y16" s="98">
        <f t="shared" si="24"/>
        <v>-15578.825000000004</v>
      </c>
      <c r="Z16" s="159">
        <f t="shared" si="28"/>
        <v>74.435857493803383</v>
      </c>
    </row>
    <row r="17" spans="1:29" s="62" customFormat="1" ht="39" x14ac:dyDescent="0.25">
      <c r="A17" s="59" t="s">
        <v>132</v>
      </c>
      <c r="B17" s="134" t="s">
        <v>102</v>
      </c>
      <c r="C17" s="51" t="s">
        <v>57</v>
      </c>
      <c r="D17" s="158">
        <v>134766</v>
      </c>
      <c r="E17" s="158">
        <v>134766</v>
      </c>
      <c r="F17" s="158">
        <f t="shared" si="29"/>
        <v>96593.584000000003</v>
      </c>
      <c r="G17" s="158">
        <v>9113.7909999999993</v>
      </c>
      <c r="H17" s="158">
        <v>6708.6930000000002</v>
      </c>
      <c r="I17" s="158">
        <v>9051.5650000000005</v>
      </c>
      <c r="J17" s="158">
        <v>8629.6080000000002</v>
      </c>
      <c r="K17" s="158">
        <v>9407.9969999999994</v>
      </c>
      <c r="L17" s="158">
        <v>9777.8259999999991</v>
      </c>
      <c r="M17" s="158">
        <v>12117.133</v>
      </c>
      <c r="N17" s="158">
        <v>13721.071</v>
      </c>
      <c r="O17" s="158">
        <v>18065.900000000001</v>
      </c>
      <c r="P17" s="159">
        <f t="shared" si="19"/>
        <v>71.675039698440258</v>
      </c>
      <c r="Q17" s="97">
        <v>93678.937999999995</v>
      </c>
      <c r="R17" s="98">
        <f t="shared" si="20"/>
        <v>2914.6460000000079</v>
      </c>
      <c r="S17" s="159">
        <f t="shared" si="21"/>
        <v>103.11131409282201</v>
      </c>
      <c r="T17" s="98">
        <f t="shared" si="25"/>
        <v>101074.5</v>
      </c>
      <c r="U17" s="98">
        <f t="shared" si="22"/>
        <v>-4480.9159999999974</v>
      </c>
      <c r="V17" s="159">
        <f t="shared" si="23"/>
        <v>95.56671959792034</v>
      </c>
      <c r="X17" s="158">
        <v>92298.648000000001</v>
      </c>
      <c r="Y17" s="98">
        <f t="shared" si="24"/>
        <v>4294.9360000000015</v>
      </c>
      <c r="Z17" s="159">
        <f t="shared" si="28"/>
        <v>104.65330326398714</v>
      </c>
    </row>
    <row r="18" spans="1:29" s="86" customFormat="1" ht="39" x14ac:dyDescent="0.25">
      <c r="A18" s="149">
        <v>5</v>
      </c>
      <c r="B18" s="63" t="s">
        <v>145</v>
      </c>
      <c r="C18" s="150" t="s">
        <v>37</v>
      </c>
      <c r="D18" s="154">
        <f>D19+D20+D21+D23+D22</f>
        <v>1024661.45</v>
      </c>
      <c r="E18" s="154">
        <f>E19+E20+E21+E23+E22</f>
        <v>1024140.45</v>
      </c>
      <c r="F18" s="154">
        <f t="shared" si="29"/>
        <v>709460.45499999996</v>
      </c>
      <c r="G18" s="154">
        <f t="shared" ref="G18:Q18" si="33">G19+G20+G21+G23+G22</f>
        <v>75712.956999999995</v>
      </c>
      <c r="H18" s="154">
        <f t="shared" ref="H18:N18" si="34">H19+H20+H21+H23+H22</f>
        <v>111045.807</v>
      </c>
      <c r="I18" s="154">
        <f t="shared" si="34"/>
        <v>44534.228999999999</v>
      </c>
      <c r="J18" s="154">
        <f t="shared" si="34"/>
        <v>86744.623999999996</v>
      </c>
      <c r="K18" s="154">
        <f t="shared" si="34"/>
        <v>95406.558000000005</v>
      </c>
      <c r="L18" s="154">
        <f t="shared" si="34"/>
        <v>48319.159</v>
      </c>
      <c r="M18" s="154">
        <f t="shared" si="34"/>
        <v>105793.67499999999</v>
      </c>
      <c r="N18" s="154">
        <f t="shared" si="34"/>
        <v>96725.224999999991</v>
      </c>
      <c r="O18" s="154">
        <f t="shared" si="33"/>
        <v>45178.220999999998</v>
      </c>
      <c r="P18" s="157">
        <f t="shared" si="19"/>
        <v>69.273746096055476</v>
      </c>
      <c r="Q18" s="155">
        <f t="shared" si="33"/>
        <v>693524.44900000002</v>
      </c>
      <c r="R18" s="156">
        <f t="shared" si="20"/>
        <v>15936.005999999936</v>
      </c>
      <c r="S18" s="157">
        <f t="shared" si="21"/>
        <v>102.2978290128024</v>
      </c>
      <c r="T18" s="156">
        <f t="shared" si="25"/>
        <v>768105.33749999991</v>
      </c>
      <c r="U18" s="156">
        <f t="shared" si="22"/>
        <v>-58644.882499999949</v>
      </c>
      <c r="V18" s="157">
        <f t="shared" si="23"/>
        <v>92.364994794740639</v>
      </c>
      <c r="X18" s="154">
        <f>X19+X20+X21+X23+X22</f>
        <v>611976.72699999996</v>
      </c>
      <c r="Y18" s="156">
        <f t="shared" si="24"/>
        <v>97483.728000000003</v>
      </c>
      <c r="Z18" s="157">
        <f t="shared" si="28"/>
        <v>115.92931948211162</v>
      </c>
      <c r="AA18" s="108">
        <f>X20+X21+X19</f>
        <v>218108.06</v>
      </c>
      <c r="AB18" s="108">
        <f>F19+F20+F21</f>
        <v>251850.3</v>
      </c>
    </row>
    <row r="19" spans="1:29" s="88" customFormat="1" ht="23.25" x14ac:dyDescent="0.25">
      <c r="A19" s="87" t="s">
        <v>147</v>
      </c>
      <c r="B19" s="135" t="s">
        <v>58</v>
      </c>
      <c r="C19" s="199" t="s">
        <v>43</v>
      </c>
      <c r="D19" s="158">
        <f>1213.85+13965.32+18822.08+58666</f>
        <v>92667.25</v>
      </c>
      <c r="E19" s="158">
        <v>92667.25</v>
      </c>
      <c r="F19" s="158">
        <f t="shared" si="29"/>
        <v>74864.883999999991</v>
      </c>
      <c r="G19" s="158">
        <v>9723.7669999999998</v>
      </c>
      <c r="H19" s="158">
        <v>3035.268</v>
      </c>
      <c r="I19" s="158">
        <v>4604.7759999999998</v>
      </c>
      <c r="J19" s="158">
        <v>15771.471</v>
      </c>
      <c r="K19" s="158">
        <v>6016.8990000000003</v>
      </c>
      <c r="L19" s="158">
        <v>6114.5559999999996</v>
      </c>
      <c r="M19" s="158">
        <v>18065.420999999998</v>
      </c>
      <c r="N19" s="158">
        <v>6654.8249999999998</v>
      </c>
      <c r="O19" s="158">
        <v>4877.9009999999998</v>
      </c>
      <c r="P19" s="159">
        <f t="shared" si="19"/>
        <v>80.788934602030366</v>
      </c>
      <c r="Q19" s="97">
        <v>74122.854999999996</v>
      </c>
      <c r="R19" s="98">
        <f t="shared" si="20"/>
        <v>742.02899999999499</v>
      </c>
      <c r="S19" s="159">
        <f t="shared" si="21"/>
        <v>101.00107989634235</v>
      </c>
      <c r="T19" s="106">
        <f t="shared" si="25"/>
        <v>69500.4375</v>
      </c>
      <c r="U19" s="98">
        <f t="shared" si="22"/>
        <v>5364.4464999999909</v>
      </c>
      <c r="V19" s="159">
        <f t="shared" si="23"/>
        <v>107.71857946937382</v>
      </c>
      <c r="X19" s="158">
        <v>53721.038999999997</v>
      </c>
      <c r="Y19" s="98">
        <f t="shared" si="24"/>
        <v>21143.844999999994</v>
      </c>
      <c r="Z19" s="159">
        <f t="shared" si="28"/>
        <v>139.35859282245079</v>
      </c>
    </row>
    <row r="20" spans="1:29" s="88" customFormat="1" ht="23.25" x14ac:dyDescent="0.25">
      <c r="A20" s="59" t="s">
        <v>148</v>
      </c>
      <c r="B20" s="135" t="s">
        <v>7</v>
      </c>
      <c r="C20" s="199"/>
      <c r="D20" s="158">
        <v>300000</v>
      </c>
      <c r="E20" s="158">
        <f>299591.5-402.5-730</f>
        <v>298459</v>
      </c>
      <c r="F20" s="158">
        <f t="shared" si="29"/>
        <v>175776.63099999999</v>
      </c>
      <c r="G20" s="158">
        <v>15633.511</v>
      </c>
      <c r="H20" s="158">
        <v>21109.75</v>
      </c>
      <c r="I20" s="158">
        <v>19376.571</v>
      </c>
      <c r="J20" s="158">
        <v>19580.672999999999</v>
      </c>
      <c r="K20" s="158">
        <v>20458.473999999998</v>
      </c>
      <c r="L20" s="158">
        <v>21838.977999999999</v>
      </c>
      <c r="M20" s="158">
        <v>21325.975999999999</v>
      </c>
      <c r="N20" s="158">
        <v>18748.224999999999</v>
      </c>
      <c r="O20" s="158">
        <v>17704.473000000002</v>
      </c>
      <c r="P20" s="159">
        <f t="shared" si="19"/>
        <v>58.894732944893605</v>
      </c>
      <c r="Q20" s="97">
        <v>173405.19399999999</v>
      </c>
      <c r="R20" s="98">
        <f t="shared" si="20"/>
        <v>2371.4370000000054</v>
      </c>
      <c r="S20" s="159">
        <f t="shared" si="21"/>
        <v>101.36756976264505</v>
      </c>
      <c r="T20" s="156">
        <f t="shared" si="25"/>
        <v>223844.25</v>
      </c>
      <c r="U20" s="98">
        <f t="shared" si="22"/>
        <v>-48067.619000000006</v>
      </c>
      <c r="V20" s="159">
        <f t="shared" si="23"/>
        <v>78.526310593191468</v>
      </c>
      <c r="X20" s="158">
        <v>162963.44400000002</v>
      </c>
      <c r="Y20" s="98">
        <f t="shared" si="24"/>
        <v>12813.186999999976</v>
      </c>
      <c r="Z20" s="159">
        <f t="shared" si="28"/>
        <v>107.86261426826496</v>
      </c>
    </row>
    <row r="21" spans="1:29" s="88" customFormat="1" ht="23.25" x14ac:dyDescent="0.25">
      <c r="A21" s="59" t="s">
        <v>149</v>
      </c>
      <c r="B21" s="135" t="s">
        <v>59</v>
      </c>
      <c r="C21" s="199"/>
      <c r="D21" s="158">
        <f>250+225</f>
        <v>475</v>
      </c>
      <c r="E21" s="158">
        <f>865+200+230</f>
        <v>1295</v>
      </c>
      <c r="F21" s="158">
        <f t="shared" si="29"/>
        <v>1208.7850000000001</v>
      </c>
      <c r="G21" s="158">
        <v>324.197</v>
      </c>
      <c r="H21" s="158">
        <v>49.052999999999997</v>
      </c>
      <c r="I21" s="158">
        <v>157.625</v>
      </c>
      <c r="J21" s="158">
        <v>242.58</v>
      </c>
      <c r="K21" s="158">
        <v>119.52200000000001</v>
      </c>
      <c r="L21" s="158">
        <v>44.167000000000002</v>
      </c>
      <c r="M21" s="158">
        <v>196.07599999999999</v>
      </c>
      <c r="N21" s="158">
        <v>34.981999999999999</v>
      </c>
      <c r="O21" s="158">
        <v>40.582999999999998</v>
      </c>
      <c r="P21" s="159">
        <f t="shared" si="19"/>
        <v>93.342471042471047</v>
      </c>
      <c r="Q21" s="97">
        <v>1172</v>
      </c>
      <c r="R21" s="98">
        <f t="shared" si="20"/>
        <v>36.785000000000082</v>
      </c>
      <c r="S21" s="159">
        <f t="shared" si="21"/>
        <v>103.13865187713311</v>
      </c>
      <c r="T21" s="156">
        <f t="shared" si="25"/>
        <v>971.25</v>
      </c>
      <c r="U21" s="98">
        <f t="shared" si="22"/>
        <v>237.53500000000008</v>
      </c>
      <c r="V21" s="159">
        <f t="shared" si="23"/>
        <v>124.45662805662808</v>
      </c>
      <c r="X21" s="158">
        <v>1423.577</v>
      </c>
      <c r="Y21" s="98">
        <f t="shared" si="24"/>
        <v>-214.79199999999992</v>
      </c>
      <c r="Z21" s="159">
        <f t="shared" si="28"/>
        <v>84.911810179568789</v>
      </c>
      <c r="AA21" s="159">
        <f>100-Z21</f>
        <v>15.088189820431211</v>
      </c>
      <c r="AB21" s="89"/>
      <c r="AC21" s="90" t="e">
        <f>F19/#REF!*100</f>
        <v>#REF!</v>
      </c>
    </row>
    <row r="22" spans="1:29" s="92" customFormat="1" ht="23.25" x14ac:dyDescent="0.25">
      <c r="A22" s="59" t="s">
        <v>150</v>
      </c>
      <c r="B22" s="135" t="s">
        <v>39</v>
      </c>
      <c r="C22" s="91" t="s">
        <v>38</v>
      </c>
      <c r="D22" s="158">
        <v>950</v>
      </c>
      <c r="E22" s="158">
        <f>950+200</f>
        <v>1150</v>
      </c>
      <c r="F22" s="158">
        <f t="shared" si="29"/>
        <v>1086.5810000000001</v>
      </c>
      <c r="G22" s="158">
        <v>59.935000000000002</v>
      </c>
      <c r="H22" s="158">
        <v>134.36000000000001</v>
      </c>
      <c r="I22" s="158">
        <v>29.998000000000001</v>
      </c>
      <c r="J22" s="158">
        <v>85.495000000000005</v>
      </c>
      <c r="K22" s="158">
        <v>203.86</v>
      </c>
      <c r="L22" s="158">
        <v>68.84</v>
      </c>
      <c r="M22" s="158">
        <v>141.779</v>
      </c>
      <c r="N22" s="158">
        <v>260.77800000000002</v>
      </c>
      <c r="O22" s="158">
        <v>101.536</v>
      </c>
      <c r="P22" s="159">
        <f t="shared" si="19"/>
        <v>94.485304347826087</v>
      </c>
      <c r="Q22" s="97">
        <v>1065</v>
      </c>
      <c r="R22" s="98">
        <f t="shared" si="20"/>
        <v>21.581000000000131</v>
      </c>
      <c r="S22" s="159">
        <f t="shared" si="21"/>
        <v>102.02638497652583</v>
      </c>
      <c r="T22" s="156">
        <f t="shared" si="25"/>
        <v>862.5</v>
      </c>
      <c r="U22" s="98">
        <f t="shared" si="22"/>
        <v>224.08100000000013</v>
      </c>
      <c r="V22" s="159">
        <f t="shared" si="23"/>
        <v>125.98040579710145</v>
      </c>
      <c r="X22" s="158">
        <v>640.60099999999989</v>
      </c>
      <c r="Y22" s="158">
        <f t="shared" si="24"/>
        <v>445.98000000000025</v>
      </c>
      <c r="Z22" s="159">
        <f t="shared" si="28"/>
        <v>169.61899840930633</v>
      </c>
    </row>
    <row r="23" spans="1:29" s="88" customFormat="1" ht="23.25" x14ac:dyDescent="0.25">
      <c r="A23" s="59" t="s">
        <v>151</v>
      </c>
      <c r="B23" s="135" t="s">
        <v>32</v>
      </c>
      <c r="C23" s="179" t="s">
        <v>33</v>
      </c>
      <c r="D23" s="158">
        <v>630569.19999999995</v>
      </c>
      <c r="E23" s="158">
        <v>630569.19999999995</v>
      </c>
      <c r="F23" s="158">
        <f t="shared" si="29"/>
        <v>456523.57400000002</v>
      </c>
      <c r="G23" s="158">
        <v>49971.546999999999</v>
      </c>
      <c r="H23" s="158">
        <v>86717.376000000004</v>
      </c>
      <c r="I23" s="158">
        <v>20365.258999999998</v>
      </c>
      <c r="J23" s="158">
        <v>51064.404999999999</v>
      </c>
      <c r="K23" s="158">
        <v>68607.803</v>
      </c>
      <c r="L23" s="158">
        <v>20252.617999999999</v>
      </c>
      <c r="M23" s="158">
        <v>66064.422999999995</v>
      </c>
      <c r="N23" s="158">
        <v>71026.414999999994</v>
      </c>
      <c r="O23" s="158">
        <v>22453.727999999999</v>
      </c>
      <c r="P23" s="159">
        <f t="shared" si="19"/>
        <v>72.398647761419383</v>
      </c>
      <c r="Q23" s="97">
        <v>443759.4</v>
      </c>
      <c r="R23" s="98">
        <f t="shared" si="20"/>
        <v>12764.173999999999</v>
      </c>
      <c r="S23" s="159">
        <f t="shared" si="21"/>
        <v>102.87637264697942</v>
      </c>
      <c r="T23" s="156">
        <f t="shared" si="25"/>
        <v>472926.89999999997</v>
      </c>
      <c r="U23" s="98">
        <f t="shared" si="22"/>
        <v>-16403.325999999943</v>
      </c>
      <c r="V23" s="159">
        <f t="shared" si="23"/>
        <v>96.531530348559173</v>
      </c>
      <c r="X23" s="158">
        <v>393228.06599999999</v>
      </c>
      <c r="Y23" s="98">
        <f t="shared" si="24"/>
        <v>63295.508000000031</v>
      </c>
      <c r="Z23" s="159">
        <f t="shared" si="28"/>
        <v>116.09638616181583</v>
      </c>
      <c r="AB23" s="89"/>
      <c r="AC23" s="90" t="e">
        <f>F23/#REF!*100</f>
        <v>#REF!</v>
      </c>
    </row>
    <row r="24" spans="1:29" s="86" customFormat="1" ht="23.25" x14ac:dyDescent="0.25">
      <c r="A24" s="149">
        <v>6</v>
      </c>
      <c r="B24" s="138" t="s">
        <v>153</v>
      </c>
      <c r="C24" s="150" t="s">
        <v>154</v>
      </c>
      <c r="D24" s="154"/>
      <c r="E24" s="154"/>
      <c r="F24" s="154">
        <f t="shared" si="29"/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7"/>
      <c r="Q24" s="155"/>
      <c r="R24" s="98">
        <f t="shared" si="20"/>
        <v>0</v>
      </c>
      <c r="S24" s="157"/>
      <c r="T24" s="156">
        <f t="shared" si="25"/>
        <v>0</v>
      </c>
      <c r="U24" s="156">
        <f t="shared" si="22"/>
        <v>0</v>
      </c>
      <c r="V24" s="157"/>
      <c r="X24" s="154">
        <v>-1.8440000000000001</v>
      </c>
      <c r="Y24" s="156">
        <f t="shared" si="24"/>
        <v>1.8440000000000001</v>
      </c>
      <c r="Z24" s="157"/>
      <c r="AB24" s="108"/>
      <c r="AC24" s="139"/>
    </row>
    <row r="25" spans="1:29" s="151" customFormat="1" ht="39" x14ac:dyDescent="0.25">
      <c r="A25" s="149">
        <f>A24+1</f>
        <v>7</v>
      </c>
      <c r="B25" s="63" t="s">
        <v>46</v>
      </c>
      <c r="C25" s="150" t="s">
        <v>17</v>
      </c>
      <c r="D25" s="154">
        <v>450</v>
      </c>
      <c r="E25" s="154">
        <f>450+280</f>
        <v>730</v>
      </c>
      <c r="F25" s="154">
        <f t="shared" si="29"/>
        <v>610.05200000000002</v>
      </c>
      <c r="G25" s="154">
        <v>10</v>
      </c>
      <c r="H25" s="154">
        <v>63.488</v>
      </c>
      <c r="I25" s="154">
        <v>19.899000000000001</v>
      </c>
      <c r="J25" s="154">
        <v>46.183</v>
      </c>
      <c r="K25" s="154">
        <v>83.956999999999994</v>
      </c>
      <c r="L25" s="154">
        <v>0</v>
      </c>
      <c r="M25" s="154">
        <v>23.704000000000001</v>
      </c>
      <c r="N25" s="154">
        <v>356.82100000000003</v>
      </c>
      <c r="O25" s="154">
        <v>6</v>
      </c>
      <c r="P25" s="157">
        <f t="shared" ref="P25:P42" si="35">F25/E25*100</f>
        <v>83.568767123287685</v>
      </c>
      <c r="Q25" s="155">
        <v>604</v>
      </c>
      <c r="R25" s="156">
        <f t="shared" si="20"/>
        <v>6.0520000000000209</v>
      </c>
      <c r="S25" s="157">
        <f>F25/Q25*100</f>
        <v>101.00198675496689</v>
      </c>
      <c r="T25" s="156">
        <f t="shared" si="25"/>
        <v>547.5</v>
      </c>
      <c r="U25" s="156">
        <f t="shared" si="22"/>
        <v>62.552000000000021</v>
      </c>
      <c r="V25" s="157">
        <f t="shared" ref="V25:V42" si="36">F25/T25*100</f>
        <v>111.42502283105023</v>
      </c>
      <c r="X25" s="154">
        <v>326.67399999999998</v>
      </c>
      <c r="Y25" s="156">
        <f t="shared" si="24"/>
        <v>283.37800000000004</v>
      </c>
      <c r="Z25" s="157">
        <f>F25/X25*100</f>
        <v>186.74641997832703</v>
      </c>
      <c r="AA25" s="58">
        <f>100-Z25</f>
        <v>-86.746419978327026</v>
      </c>
    </row>
    <row r="26" spans="1:29" s="151" customFormat="1" ht="23.25" x14ac:dyDescent="0.25">
      <c r="A26" s="149">
        <f t="shared" ref="A26:A33" si="37">A25+1</f>
        <v>8</v>
      </c>
      <c r="B26" s="63" t="s">
        <v>74</v>
      </c>
      <c r="C26" s="150" t="s">
        <v>73</v>
      </c>
      <c r="D26" s="154">
        <v>12000</v>
      </c>
      <c r="E26" s="154">
        <v>12000</v>
      </c>
      <c r="F26" s="154">
        <f t="shared" si="29"/>
        <v>12409.130000000001</v>
      </c>
      <c r="G26" s="154">
        <v>432.791</v>
      </c>
      <c r="H26" s="154">
        <v>1371.3440000000001</v>
      </c>
      <c r="I26" s="154">
        <v>1459.3430000000001</v>
      </c>
      <c r="J26" s="154">
        <v>1608.9</v>
      </c>
      <c r="K26" s="154">
        <v>1657.4580000000001</v>
      </c>
      <c r="L26" s="154">
        <v>1243.4580000000001</v>
      </c>
      <c r="M26" s="154">
        <v>1327.6010000000001</v>
      </c>
      <c r="N26" s="154">
        <v>1662.588</v>
      </c>
      <c r="O26" s="154">
        <v>1645.6469999999999</v>
      </c>
      <c r="P26" s="157">
        <f t="shared" si="35"/>
        <v>103.40941666666667</v>
      </c>
      <c r="Q26" s="155">
        <v>11900</v>
      </c>
      <c r="R26" s="156">
        <f t="shared" si="20"/>
        <v>509.13000000000102</v>
      </c>
      <c r="S26" s="157">
        <f>F26/Q26*100</f>
        <v>104.27840336134454</v>
      </c>
      <c r="T26" s="156">
        <f t="shared" si="25"/>
        <v>9000</v>
      </c>
      <c r="U26" s="156">
        <f t="shared" si="22"/>
        <v>3409.130000000001</v>
      </c>
      <c r="V26" s="157">
        <f t="shared" si="36"/>
        <v>137.87922222222224</v>
      </c>
      <c r="X26" s="154">
        <v>25849.618000000002</v>
      </c>
      <c r="Y26" s="156">
        <f t="shared" si="24"/>
        <v>-13440.488000000001</v>
      </c>
      <c r="Z26" s="157">
        <f>F26/X26*100</f>
        <v>48.005080771406369</v>
      </c>
    </row>
    <row r="27" spans="1:29" s="151" customFormat="1" ht="23.25" x14ac:dyDescent="0.25">
      <c r="A27" s="149">
        <f t="shared" si="37"/>
        <v>9</v>
      </c>
      <c r="B27" s="63" t="s">
        <v>8</v>
      </c>
      <c r="C27" s="150" t="s">
        <v>18</v>
      </c>
      <c r="D27" s="154">
        <v>5.5</v>
      </c>
      <c r="E27" s="154">
        <f>5.5+2.5</f>
        <v>8</v>
      </c>
      <c r="F27" s="154">
        <f t="shared" si="29"/>
        <v>6.0410000000000004</v>
      </c>
      <c r="G27" s="154">
        <v>0</v>
      </c>
      <c r="H27" s="154">
        <v>0.38100000000000001</v>
      </c>
      <c r="I27" s="154">
        <v>0</v>
      </c>
      <c r="J27" s="154">
        <v>0</v>
      </c>
      <c r="K27" s="154">
        <v>5.66</v>
      </c>
      <c r="L27" s="154">
        <v>0</v>
      </c>
      <c r="M27" s="154">
        <v>0</v>
      </c>
      <c r="N27" s="154">
        <v>0</v>
      </c>
      <c r="O27" s="154">
        <v>0</v>
      </c>
      <c r="P27" s="157">
        <f t="shared" si="35"/>
        <v>75.512500000000003</v>
      </c>
      <c r="Q27" s="155">
        <v>6</v>
      </c>
      <c r="R27" s="156">
        <f t="shared" si="20"/>
        <v>4.1000000000000369E-2</v>
      </c>
      <c r="S27" s="157">
        <f>F27/Q27*100</f>
        <v>100.68333333333335</v>
      </c>
      <c r="T27" s="156">
        <f t="shared" si="25"/>
        <v>6</v>
      </c>
      <c r="U27" s="156">
        <f t="shared" si="22"/>
        <v>4.1000000000000369E-2</v>
      </c>
      <c r="V27" s="157">
        <f t="shared" si="36"/>
        <v>100.68333333333335</v>
      </c>
      <c r="X27" s="154">
        <v>5.4390000000000001</v>
      </c>
      <c r="Y27" s="156">
        <f t="shared" si="24"/>
        <v>0.60200000000000031</v>
      </c>
      <c r="Z27" s="157">
        <f>F27/X27*100</f>
        <v>111.06821106821107</v>
      </c>
    </row>
    <row r="28" spans="1:29" s="151" customFormat="1" ht="78" x14ac:dyDescent="0.25">
      <c r="A28" s="149">
        <f t="shared" si="37"/>
        <v>10</v>
      </c>
      <c r="B28" s="174" t="s">
        <v>96</v>
      </c>
      <c r="C28" s="82" t="s">
        <v>97</v>
      </c>
      <c r="D28" s="154">
        <v>4.5</v>
      </c>
      <c r="E28" s="154">
        <v>4.5</v>
      </c>
      <c r="F28" s="154">
        <f t="shared" si="29"/>
        <v>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7">
        <f t="shared" si="35"/>
        <v>0</v>
      </c>
      <c r="Q28" s="155">
        <v>0</v>
      </c>
      <c r="R28" s="156">
        <f t="shared" si="20"/>
        <v>0</v>
      </c>
      <c r="S28" s="157"/>
      <c r="T28" s="156">
        <f t="shared" si="25"/>
        <v>3.375</v>
      </c>
      <c r="U28" s="156">
        <f t="shared" si="22"/>
        <v>-3.375</v>
      </c>
      <c r="V28" s="157">
        <f t="shared" si="36"/>
        <v>0</v>
      </c>
      <c r="X28" s="154">
        <v>4.4080000000000004</v>
      </c>
      <c r="Y28" s="156">
        <f t="shared" si="24"/>
        <v>-4.4080000000000004</v>
      </c>
      <c r="Z28" s="157"/>
    </row>
    <row r="29" spans="1:29" s="151" customFormat="1" ht="23.25" x14ac:dyDescent="0.25">
      <c r="A29" s="149">
        <f t="shared" si="37"/>
        <v>11</v>
      </c>
      <c r="B29" s="164" t="s">
        <v>29</v>
      </c>
      <c r="C29" s="150" t="s">
        <v>24</v>
      </c>
      <c r="D29" s="154">
        <v>8804.73</v>
      </c>
      <c r="E29" s="154">
        <v>8804.73</v>
      </c>
      <c r="F29" s="154">
        <f t="shared" si="29"/>
        <v>9730.2859999999982</v>
      </c>
      <c r="G29" s="154">
        <v>497.94799999999998</v>
      </c>
      <c r="H29" s="154">
        <v>694.71400000000006</v>
      </c>
      <c r="I29" s="154">
        <v>893.96699999999998</v>
      </c>
      <c r="J29" s="154">
        <v>1137.1980000000001</v>
      </c>
      <c r="K29" s="154">
        <v>904.77499999999998</v>
      </c>
      <c r="L29" s="154">
        <v>1296.52</v>
      </c>
      <c r="M29" s="154">
        <v>1252.164</v>
      </c>
      <c r="N29" s="154">
        <v>1440.2760000000001</v>
      </c>
      <c r="O29" s="154">
        <v>1612.7239999999999</v>
      </c>
      <c r="P29" s="157">
        <f t="shared" si="35"/>
        <v>110.51203160119616</v>
      </c>
      <c r="Q29" s="155">
        <v>8804.73</v>
      </c>
      <c r="R29" s="156">
        <f t="shared" si="20"/>
        <v>925.55599999999868</v>
      </c>
      <c r="S29" s="157">
        <f t="shared" ref="S29:S40" si="38">F29/Q29*100</f>
        <v>110.51203160119616</v>
      </c>
      <c r="T29" s="156">
        <f t="shared" si="25"/>
        <v>6603.5474999999997</v>
      </c>
      <c r="U29" s="156">
        <f t="shared" si="22"/>
        <v>3126.7384999999986</v>
      </c>
      <c r="V29" s="157">
        <f t="shared" si="36"/>
        <v>147.34937546826154</v>
      </c>
      <c r="X29" s="154">
        <v>3427.2620000000006</v>
      </c>
      <c r="Y29" s="156">
        <f t="shared" si="24"/>
        <v>6303.0239999999976</v>
      </c>
      <c r="Z29" s="157">
        <f>F29/X29*100</f>
        <v>283.90843769749716</v>
      </c>
      <c r="AA29" s="58">
        <f>100-Z29</f>
        <v>-183.90843769749716</v>
      </c>
    </row>
    <row r="30" spans="1:29" s="151" customFormat="1" ht="39" x14ac:dyDescent="0.25">
      <c r="A30" s="149">
        <f t="shared" si="37"/>
        <v>12</v>
      </c>
      <c r="B30" s="164" t="s">
        <v>85</v>
      </c>
      <c r="C30" s="150" t="s">
        <v>84</v>
      </c>
      <c r="D30" s="154">
        <v>410</v>
      </c>
      <c r="E30" s="154">
        <v>410</v>
      </c>
      <c r="F30" s="154">
        <f t="shared" si="29"/>
        <v>390.12</v>
      </c>
      <c r="G30" s="154">
        <v>14.6</v>
      </c>
      <c r="H30" s="154">
        <v>13.6</v>
      </c>
      <c r="I30" s="154">
        <v>25.3</v>
      </c>
      <c r="J30" s="154">
        <v>43.42</v>
      </c>
      <c r="K30" s="154">
        <v>27.8</v>
      </c>
      <c r="L30" s="154">
        <v>70.8</v>
      </c>
      <c r="M30" s="154">
        <v>93.8</v>
      </c>
      <c r="N30" s="154">
        <v>69</v>
      </c>
      <c r="O30" s="154">
        <v>31.8</v>
      </c>
      <c r="P30" s="157">
        <f t="shared" si="35"/>
        <v>95.151219512195112</v>
      </c>
      <c r="Q30" s="155">
        <v>377.5</v>
      </c>
      <c r="R30" s="156">
        <f t="shared" si="20"/>
        <v>12.620000000000005</v>
      </c>
      <c r="S30" s="157">
        <f t="shared" si="38"/>
        <v>103.34304635761589</v>
      </c>
      <c r="T30" s="156">
        <f t="shared" si="25"/>
        <v>307.5</v>
      </c>
      <c r="U30" s="156">
        <f t="shared" si="22"/>
        <v>82.62</v>
      </c>
      <c r="V30" s="157">
        <f t="shared" si="36"/>
        <v>126.86829268292684</v>
      </c>
      <c r="X30" s="154">
        <v>301.755</v>
      </c>
      <c r="Y30" s="156">
        <f t="shared" si="24"/>
        <v>88.365000000000009</v>
      </c>
      <c r="Z30" s="157">
        <f>F30/X30*100</f>
        <v>129.28369041109508</v>
      </c>
    </row>
    <row r="31" spans="1:29" s="151" customFormat="1" ht="23.25" x14ac:dyDescent="0.25">
      <c r="A31" s="149">
        <f t="shared" si="37"/>
        <v>13</v>
      </c>
      <c r="B31" s="164" t="s">
        <v>118</v>
      </c>
      <c r="C31" s="150" t="s">
        <v>119</v>
      </c>
      <c r="D31" s="154">
        <v>15000</v>
      </c>
      <c r="E31" s="154">
        <v>15000</v>
      </c>
      <c r="F31" s="154">
        <f t="shared" si="29"/>
        <v>13131.072999999999</v>
      </c>
      <c r="G31" s="154">
        <v>1342.5129999999999</v>
      </c>
      <c r="H31" s="154">
        <v>1648.6120000000001</v>
      </c>
      <c r="I31" s="154">
        <v>1521.1489999999999</v>
      </c>
      <c r="J31" s="154">
        <v>1266.5989999999999</v>
      </c>
      <c r="K31" s="154">
        <v>1452.096</v>
      </c>
      <c r="L31" s="154">
        <v>1385.58</v>
      </c>
      <c r="M31" s="154">
        <v>1432.884</v>
      </c>
      <c r="N31" s="154">
        <v>1586.3889999999999</v>
      </c>
      <c r="O31" s="154">
        <v>1495.251</v>
      </c>
      <c r="P31" s="157">
        <f t="shared" si="35"/>
        <v>87.540486666666666</v>
      </c>
      <c r="Q31" s="155">
        <v>12607</v>
      </c>
      <c r="R31" s="156">
        <f t="shared" si="20"/>
        <v>524.0729999999985</v>
      </c>
      <c r="S31" s="157">
        <f t="shared" si="38"/>
        <v>104.15700007932101</v>
      </c>
      <c r="T31" s="156">
        <f t="shared" si="25"/>
        <v>11250</v>
      </c>
      <c r="U31" s="156">
        <f t="shared" si="22"/>
        <v>1881.0729999999985</v>
      </c>
      <c r="V31" s="157">
        <f t="shared" si="36"/>
        <v>116.72064888888886</v>
      </c>
      <c r="X31" s="154">
        <v>10606.290999999999</v>
      </c>
      <c r="Y31" s="156">
        <f t="shared" si="24"/>
        <v>2524.7819999999992</v>
      </c>
      <c r="Z31" s="157">
        <f>F31/X31*100</f>
        <v>123.80457032529091</v>
      </c>
    </row>
    <row r="32" spans="1:29" s="151" customFormat="1" ht="78" x14ac:dyDescent="0.25">
      <c r="A32" s="149">
        <f t="shared" si="37"/>
        <v>14</v>
      </c>
      <c r="B32" s="164" t="s">
        <v>167</v>
      </c>
      <c r="C32" s="150" t="s">
        <v>166</v>
      </c>
      <c r="D32" s="154">
        <v>0</v>
      </c>
      <c r="E32" s="154">
        <v>30</v>
      </c>
      <c r="F32" s="154">
        <f t="shared" si="29"/>
        <v>23.799999999999997</v>
      </c>
      <c r="G32" s="154">
        <v>0</v>
      </c>
      <c r="H32" s="154">
        <v>0</v>
      </c>
      <c r="I32" s="154">
        <v>3.3180000000000001</v>
      </c>
      <c r="J32" s="154">
        <v>1.0720000000000001</v>
      </c>
      <c r="K32" s="154">
        <v>2.61</v>
      </c>
      <c r="L32" s="154">
        <v>1.2</v>
      </c>
      <c r="M32" s="154">
        <v>7.2</v>
      </c>
      <c r="N32" s="154">
        <v>7.2</v>
      </c>
      <c r="O32" s="154">
        <v>1.2</v>
      </c>
      <c r="P32" s="157">
        <f t="shared" si="35"/>
        <v>79.333333333333329</v>
      </c>
      <c r="Q32" s="155">
        <v>23.8</v>
      </c>
      <c r="R32" s="156">
        <f t="shared" si="20"/>
        <v>0</v>
      </c>
      <c r="S32" s="157">
        <f t="shared" si="38"/>
        <v>99.999999999999986</v>
      </c>
      <c r="T32" s="156">
        <f t="shared" si="25"/>
        <v>22.5</v>
      </c>
      <c r="U32" s="156">
        <f t="shared" si="22"/>
        <v>1.2999999999999972</v>
      </c>
      <c r="V32" s="157">
        <f t="shared" si="36"/>
        <v>105.77777777777777</v>
      </c>
      <c r="X32" s="154">
        <v>0</v>
      </c>
      <c r="Y32" s="156">
        <f t="shared" si="24"/>
        <v>23.799999999999997</v>
      </c>
      <c r="Z32" s="157"/>
    </row>
    <row r="33" spans="1:33" s="151" customFormat="1" ht="23.25" x14ac:dyDescent="0.25">
      <c r="A33" s="149">
        <f t="shared" si="37"/>
        <v>15</v>
      </c>
      <c r="B33" s="164" t="s">
        <v>87</v>
      </c>
      <c r="C33" s="150" t="s">
        <v>86</v>
      </c>
      <c r="D33" s="154">
        <f>SUM(D34:D37)</f>
        <v>27762.799999999999</v>
      </c>
      <c r="E33" s="154">
        <f>SUM(E34:E37)</f>
        <v>27762.799999999999</v>
      </c>
      <c r="F33" s="154">
        <f t="shared" si="29"/>
        <v>24854.790999999997</v>
      </c>
      <c r="G33" s="154">
        <f t="shared" ref="G33:Q33" si="39">SUM(G34:G37)</f>
        <v>2016.3869999999997</v>
      </c>
      <c r="H33" s="154">
        <f t="shared" ref="H33:N33" si="40">SUM(H34:H37)</f>
        <v>2147.1390000000001</v>
      </c>
      <c r="I33" s="154">
        <f t="shared" si="40"/>
        <v>2556.277</v>
      </c>
      <c r="J33" s="154">
        <f t="shared" si="40"/>
        <v>2848.3900000000003</v>
      </c>
      <c r="K33" s="154">
        <f t="shared" si="40"/>
        <v>2767.8540000000003</v>
      </c>
      <c r="L33" s="154">
        <f t="shared" si="40"/>
        <v>3005.6840000000002</v>
      </c>
      <c r="M33" s="154">
        <f t="shared" si="40"/>
        <v>3450.6730000000002</v>
      </c>
      <c r="N33" s="154">
        <f t="shared" si="40"/>
        <v>3110.4269999999997</v>
      </c>
      <c r="O33" s="154">
        <f t="shared" si="39"/>
        <v>2951.96</v>
      </c>
      <c r="P33" s="157">
        <f t="shared" si="35"/>
        <v>89.525519760254724</v>
      </c>
      <c r="Q33" s="155">
        <f t="shared" si="39"/>
        <v>23743.600000000002</v>
      </c>
      <c r="R33" s="156">
        <f t="shared" si="20"/>
        <v>1111.1909999999953</v>
      </c>
      <c r="S33" s="157">
        <f t="shared" si="38"/>
        <v>104.67996007345135</v>
      </c>
      <c r="T33" s="156">
        <f t="shared" si="25"/>
        <v>20822.099999999999</v>
      </c>
      <c r="U33" s="156">
        <f t="shared" si="22"/>
        <v>4032.6909999999989</v>
      </c>
      <c r="V33" s="157">
        <f t="shared" si="36"/>
        <v>119.36735968033962</v>
      </c>
      <c r="X33" s="154">
        <f t="shared" ref="X33" si="41">SUM(X34:X37)</f>
        <v>18559.384000000002</v>
      </c>
      <c r="Y33" s="156">
        <f t="shared" si="24"/>
        <v>6295.4069999999956</v>
      </c>
      <c r="Z33" s="157">
        <f t="shared" ref="Z33:Z39" si="42">F33/X33*100</f>
        <v>133.92034455453907</v>
      </c>
    </row>
    <row r="34" spans="1:33" s="62" customFormat="1" ht="39" x14ac:dyDescent="0.25">
      <c r="A34" s="59" t="s">
        <v>168</v>
      </c>
      <c r="B34" s="99" t="s">
        <v>79</v>
      </c>
      <c r="C34" s="179" t="s">
        <v>78</v>
      </c>
      <c r="D34" s="158">
        <v>1300</v>
      </c>
      <c r="E34" s="158">
        <v>1300</v>
      </c>
      <c r="F34" s="158">
        <f t="shared" si="29"/>
        <v>1154.077</v>
      </c>
      <c r="G34" s="158">
        <v>91.153999999999996</v>
      </c>
      <c r="H34" s="158">
        <v>123.645</v>
      </c>
      <c r="I34" s="158">
        <v>141.91800000000001</v>
      </c>
      <c r="J34" s="158">
        <v>141.23099999999999</v>
      </c>
      <c r="K34" s="158">
        <v>108.44</v>
      </c>
      <c r="L34" s="158">
        <v>153.00200000000001</v>
      </c>
      <c r="M34" s="158">
        <v>113.806</v>
      </c>
      <c r="N34" s="158">
        <v>151.93</v>
      </c>
      <c r="O34" s="158">
        <v>128.95099999999999</v>
      </c>
      <c r="P34" s="159">
        <f t="shared" si="35"/>
        <v>88.775153846153842</v>
      </c>
      <c r="Q34" s="97">
        <v>1131</v>
      </c>
      <c r="R34" s="98">
        <f t="shared" si="20"/>
        <v>23.076999999999998</v>
      </c>
      <c r="S34" s="159">
        <f t="shared" si="38"/>
        <v>102.04040671971705</v>
      </c>
      <c r="T34" s="156">
        <f t="shared" si="25"/>
        <v>975</v>
      </c>
      <c r="U34" s="98">
        <f t="shared" si="22"/>
        <v>179.077</v>
      </c>
      <c r="V34" s="159">
        <f t="shared" si="36"/>
        <v>118.3668717948718</v>
      </c>
      <c r="X34" s="158">
        <v>839.67500000000007</v>
      </c>
      <c r="Y34" s="98">
        <f t="shared" si="24"/>
        <v>314.40199999999993</v>
      </c>
      <c r="Z34" s="159">
        <f t="shared" si="42"/>
        <v>137.44329651353203</v>
      </c>
      <c r="AA34" s="159">
        <f>Z34-100</f>
        <v>37.443296513532033</v>
      </c>
      <c r="AB34" s="60"/>
    </row>
    <row r="35" spans="1:33" s="62" customFormat="1" ht="23.25" x14ac:dyDescent="0.25">
      <c r="A35" s="59" t="s">
        <v>169</v>
      </c>
      <c r="B35" s="100" t="s">
        <v>60</v>
      </c>
      <c r="C35" s="51" t="s">
        <v>61</v>
      </c>
      <c r="D35" s="158">
        <v>24922.799999999999</v>
      </c>
      <c r="E35" s="158">
        <v>24922.799999999999</v>
      </c>
      <c r="F35" s="158">
        <f t="shared" si="29"/>
        <v>22700.557000000001</v>
      </c>
      <c r="G35" s="158">
        <v>1816.0039999999999</v>
      </c>
      <c r="H35" s="158">
        <v>1889.204</v>
      </c>
      <c r="I35" s="158">
        <v>2281.4290000000001</v>
      </c>
      <c r="J35" s="158">
        <v>2605.2289999999998</v>
      </c>
      <c r="K35" s="158">
        <v>2552.5940000000001</v>
      </c>
      <c r="L35" s="158">
        <v>2747.3620000000001</v>
      </c>
      <c r="M35" s="158">
        <v>3191.1350000000002</v>
      </c>
      <c r="N35" s="158">
        <v>2869.6509999999998</v>
      </c>
      <c r="O35" s="158">
        <v>2747.9490000000001</v>
      </c>
      <c r="P35" s="159">
        <f t="shared" si="35"/>
        <v>91.083493828943787</v>
      </c>
      <c r="Q35" s="97">
        <v>21620.400000000001</v>
      </c>
      <c r="R35" s="98">
        <f t="shared" si="20"/>
        <v>1080.1569999999992</v>
      </c>
      <c r="S35" s="159">
        <f t="shared" si="38"/>
        <v>104.99600839947456</v>
      </c>
      <c r="T35" s="156">
        <f t="shared" si="25"/>
        <v>18692.100000000002</v>
      </c>
      <c r="U35" s="98">
        <f t="shared" si="22"/>
        <v>4008.4569999999985</v>
      </c>
      <c r="V35" s="159">
        <f t="shared" si="36"/>
        <v>121.44465843859169</v>
      </c>
      <c r="X35" s="158">
        <v>16727.02</v>
      </c>
      <c r="Y35" s="98">
        <f t="shared" si="24"/>
        <v>5973.5370000000003</v>
      </c>
      <c r="Z35" s="159">
        <f t="shared" si="42"/>
        <v>135.71190206025938</v>
      </c>
      <c r="AA35" s="159">
        <f>Z35-100</f>
        <v>35.711902060259376</v>
      </c>
      <c r="AB35" s="61"/>
    </row>
    <row r="36" spans="1:33" s="62" customFormat="1" ht="39" x14ac:dyDescent="0.25">
      <c r="A36" s="59" t="s">
        <v>170</v>
      </c>
      <c r="B36" s="100" t="s">
        <v>83</v>
      </c>
      <c r="C36" s="51" t="s">
        <v>80</v>
      </c>
      <c r="D36" s="158">
        <v>1400</v>
      </c>
      <c r="E36" s="158">
        <v>1400</v>
      </c>
      <c r="F36" s="158">
        <f t="shared" si="29"/>
        <v>935.40699999999981</v>
      </c>
      <c r="G36" s="158">
        <v>106.899</v>
      </c>
      <c r="H36" s="158">
        <v>124.08</v>
      </c>
      <c r="I36" s="158">
        <v>126.35</v>
      </c>
      <c r="J36" s="158">
        <v>100.11</v>
      </c>
      <c r="K36" s="158">
        <v>101.36</v>
      </c>
      <c r="L36" s="158">
        <v>96.92</v>
      </c>
      <c r="M36" s="158">
        <v>134.38200000000001</v>
      </c>
      <c r="N36" s="158">
        <v>72.406000000000006</v>
      </c>
      <c r="O36" s="158">
        <v>72.900000000000006</v>
      </c>
      <c r="P36" s="159">
        <f t="shared" si="35"/>
        <v>66.814785714285691</v>
      </c>
      <c r="Q36" s="97">
        <v>927.8</v>
      </c>
      <c r="R36" s="98">
        <f t="shared" si="20"/>
        <v>7.6069999999998572</v>
      </c>
      <c r="S36" s="159">
        <f t="shared" si="38"/>
        <v>100.81989652942443</v>
      </c>
      <c r="T36" s="156">
        <f t="shared" si="25"/>
        <v>1050</v>
      </c>
      <c r="U36" s="98">
        <f t="shared" si="22"/>
        <v>-114.59300000000019</v>
      </c>
      <c r="V36" s="159">
        <f t="shared" si="36"/>
        <v>89.086380952380935</v>
      </c>
      <c r="X36" s="158">
        <v>889.64499999999998</v>
      </c>
      <c r="Y36" s="98">
        <f t="shared" si="24"/>
        <v>45.76199999999983</v>
      </c>
      <c r="Z36" s="159">
        <f t="shared" si="42"/>
        <v>105.14384951300796</v>
      </c>
    </row>
    <row r="37" spans="1:33" s="62" customFormat="1" ht="97.5" x14ac:dyDescent="0.25">
      <c r="A37" s="59" t="s">
        <v>171</v>
      </c>
      <c r="B37" s="101" t="s">
        <v>82</v>
      </c>
      <c r="C37" s="51" t="s">
        <v>81</v>
      </c>
      <c r="D37" s="158">
        <v>140</v>
      </c>
      <c r="E37" s="158">
        <v>140</v>
      </c>
      <c r="F37" s="158">
        <f t="shared" si="29"/>
        <v>64.75</v>
      </c>
      <c r="G37" s="158">
        <v>2.33</v>
      </c>
      <c r="H37" s="158">
        <v>10.210000000000001</v>
      </c>
      <c r="I37" s="158">
        <v>6.58</v>
      </c>
      <c r="J37" s="158">
        <v>1.82</v>
      </c>
      <c r="K37" s="158">
        <v>5.46</v>
      </c>
      <c r="L37" s="158">
        <v>8.4</v>
      </c>
      <c r="M37" s="158">
        <v>11.35</v>
      </c>
      <c r="N37" s="158">
        <v>16.440000000000001</v>
      </c>
      <c r="O37" s="158">
        <v>2.16</v>
      </c>
      <c r="P37" s="159">
        <f t="shared" si="35"/>
        <v>46.25</v>
      </c>
      <c r="Q37" s="97">
        <v>64.400000000000006</v>
      </c>
      <c r="R37" s="98">
        <f t="shared" si="20"/>
        <v>0.34999999999999432</v>
      </c>
      <c r="S37" s="159">
        <f t="shared" si="38"/>
        <v>100.54347826086956</v>
      </c>
      <c r="T37" s="156">
        <f t="shared" si="25"/>
        <v>105</v>
      </c>
      <c r="U37" s="98">
        <f t="shared" si="22"/>
        <v>-40.25</v>
      </c>
      <c r="V37" s="159">
        <f t="shared" si="36"/>
        <v>61.666666666666671</v>
      </c>
      <c r="X37" s="158">
        <v>103.044</v>
      </c>
      <c r="Y37" s="98">
        <f t="shared" si="24"/>
        <v>-38.293999999999997</v>
      </c>
      <c r="Z37" s="159">
        <f t="shared" si="42"/>
        <v>62.837234579402981</v>
      </c>
    </row>
    <row r="38" spans="1:33" s="151" customFormat="1" ht="39" x14ac:dyDescent="0.25">
      <c r="A38" s="149">
        <v>16</v>
      </c>
      <c r="B38" s="174" t="s">
        <v>34</v>
      </c>
      <c r="C38" s="150" t="s">
        <v>19</v>
      </c>
      <c r="D38" s="154">
        <v>12000</v>
      </c>
      <c r="E38" s="154">
        <v>12000</v>
      </c>
      <c r="F38" s="154">
        <f t="shared" si="29"/>
        <v>9019.0430000000015</v>
      </c>
      <c r="G38" s="154">
        <v>886.822</v>
      </c>
      <c r="H38" s="154">
        <v>956.88</v>
      </c>
      <c r="I38" s="154">
        <v>1008.902</v>
      </c>
      <c r="J38" s="154">
        <v>874.19399999999996</v>
      </c>
      <c r="K38" s="154">
        <v>1016.393</v>
      </c>
      <c r="L38" s="154">
        <v>1026.453</v>
      </c>
      <c r="M38" s="154">
        <v>1010.407</v>
      </c>
      <c r="N38" s="154">
        <v>854.18</v>
      </c>
      <c r="O38" s="154">
        <v>1384.8119999999999</v>
      </c>
      <c r="P38" s="157">
        <f t="shared" si="35"/>
        <v>75.158691666666684</v>
      </c>
      <c r="Q38" s="155">
        <v>8641.4</v>
      </c>
      <c r="R38" s="156">
        <f t="shared" si="20"/>
        <v>377.64300000000185</v>
      </c>
      <c r="S38" s="157">
        <f t="shared" si="38"/>
        <v>104.3701599277895</v>
      </c>
      <c r="T38" s="156">
        <f t="shared" si="25"/>
        <v>9000</v>
      </c>
      <c r="U38" s="156">
        <f t="shared" si="22"/>
        <v>19.043000000001484</v>
      </c>
      <c r="V38" s="157">
        <f t="shared" si="36"/>
        <v>100.2115888888889</v>
      </c>
      <c r="X38" s="154">
        <v>8453.3819999999996</v>
      </c>
      <c r="Y38" s="156">
        <f t="shared" si="24"/>
        <v>565.66100000000188</v>
      </c>
      <c r="Z38" s="157">
        <f t="shared" si="42"/>
        <v>106.69153482002827</v>
      </c>
    </row>
    <row r="39" spans="1:33" s="151" customFormat="1" ht="23.25" x14ac:dyDescent="0.25">
      <c r="A39" s="149">
        <f t="shared" ref="A39:A46" si="43">A38+1</f>
        <v>17</v>
      </c>
      <c r="B39" s="63" t="s">
        <v>54</v>
      </c>
      <c r="C39" s="150" t="s">
        <v>15</v>
      </c>
      <c r="D39" s="154">
        <v>600.5</v>
      </c>
      <c r="E39" s="154">
        <v>600.5</v>
      </c>
      <c r="F39" s="154">
        <f t="shared" si="29"/>
        <v>395.59599999999995</v>
      </c>
      <c r="G39" s="154">
        <v>33.802</v>
      </c>
      <c r="H39" s="154">
        <v>36.167000000000002</v>
      </c>
      <c r="I39" s="154">
        <v>43.429000000000002</v>
      </c>
      <c r="J39" s="154">
        <v>38.436999999999998</v>
      </c>
      <c r="K39" s="154">
        <v>36.195</v>
      </c>
      <c r="L39" s="154">
        <v>65.909000000000006</v>
      </c>
      <c r="M39" s="154">
        <v>47.518999999999998</v>
      </c>
      <c r="N39" s="154">
        <v>49.859000000000002</v>
      </c>
      <c r="O39" s="154">
        <v>44.279000000000003</v>
      </c>
      <c r="P39" s="157">
        <f t="shared" si="35"/>
        <v>65.877768526228124</v>
      </c>
      <c r="Q39" s="155">
        <v>393.34500000000003</v>
      </c>
      <c r="R39" s="156">
        <f t="shared" ref="R39:R61" si="44">F39-Q39</f>
        <v>2.2509999999999195</v>
      </c>
      <c r="S39" s="157">
        <f t="shared" si="38"/>
        <v>100.57227116144858</v>
      </c>
      <c r="T39" s="156">
        <f t="shared" si="25"/>
        <v>450.375</v>
      </c>
      <c r="U39" s="156">
        <f t="shared" ref="U39:U72" si="45">F39-T39</f>
        <v>-54.779000000000053</v>
      </c>
      <c r="V39" s="157">
        <f t="shared" si="36"/>
        <v>87.837024701637517</v>
      </c>
      <c r="X39" s="154">
        <v>513.07499999999993</v>
      </c>
      <c r="Y39" s="156">
        <f t="shared" ref="Y39:Y73" si="46">F39-X39</f>
        <v>-117.47899999999998</v>
      </c>
      <c r="Z39" s="157">
        <f t="shared" si="42"/>
        <v>77.102957657262579</v>
      </c>
      <c r="AA39" s="58">
        <f>100-Z39</f>
        <v>22.897042342737421</v>
      </c>
    </row>
    <row r="40" spans="1:33" s="151" customFormat="1" ht="78" x14ac:dyDescent="0.25">
      <c r="A40" s="149">
        <f t="shared" si="43"/>
        <v>18</v>
      </c>
      <c r="B40" s="63" t="s">
        <v>104</v>
      </c>
      <c r="C40" s="150" t="s">
        <v>103</v>
      </c>
      <c r="D40" s="154">
        <v>2.5499999999999998</v>
      </c>
      <c r="E40" s="154">
        <v>2.5499999999999998</v>
      </c>
      <c r="F40" s="154">
        <f t="shared" si="29"/>
        <v>2.6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2.6</v>
      </c>
      <c r="O40" s="154">
        <v>0</v>
      </c>
      <c r="P40" s="157">
        <f t="shared" si="35"/>
        <v>101.96078431372551</v>
      </c>
      <c r="Q40" s="155">
        <v>2.5499999999999998</v>
      </c>
      <c r="R40" s="156">
        <f t="shared" si="44"/>
        <v>5.0000000000000266E-2</v>
      </c>
      <c r="S40" s="157">
        <f t="shared" si="38"/>
        <v>101.96078431372551</v>
      </c>
      <c r="T40" s="156">
        <f t="shared" si="25"/>
        <v>1.9124999999999999</v>
      </c>
      <c r="U40" s="156">
        <f t="shared" si="45"/>
        <v>0.68750000000000022</v>
      </c>
      <c r="V40" s="157">
        <f t="shared" si="36"/>
        <v>135.94771241830065</v>
      </c>
      <c r="X40" s="154">
        <v>0</v>
      </c>
      <c r="Y40" s="156">
        <f t="shared" si="46"/>
        <v>2.6</v>
      </c>
      <c r="Z40" s="157"/>
    </row>
    <row r="41" spans="1:33" s="151" customFormat="1" ht="23.25" x14ac:dyDescent="0.25">
      <c r="A41" s="149">
        <f t="shared" si="43"/>
        <v>19</v>
      </c>
      <c r="B41" s="85" t="s">
        <v>62</v>
      </c>
      <c r="C41" s="25" t="s">
        <v>63</v>
      </c>
      <c r="D41" s="154">
        <v>70</v>
      </c>
      <c r="E41" s="154">
        <f>70+200</f>
        <v>270</v>
      </c>
      <c r="F41" s="154">
        <f t="shared" si="29"/>
        <v>230.22200000000001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230.22200000000001</v>
      </c>
      <c r="M41" s="154">
        <v>0</v>
      </c>
      <c r="N41" s="154">
        <v>0</v>
      </c>
      <c r="O41" s="154">
        <v>0</v>
      </c>
      <c r="P41" s="157">
        <f t="shared" si="35"/>
        <v>85.267407407407418</v>
      </c>
      <c r="Q41" s="155">
        <v>230</v>
      </c>
      <c r="R41" s="156">
        <f t="shared" si="44"/>
        <v>0.22200000000000841</v>
      </c>
      <c r="S41" s="157">
        <f>F41/Q41*100</f>
        <v>100.09652173913044</v>
      </c>
      <c r="T41" s="156">
        <f t="shared" si="25"/>
        <v>202.5</v>
      </c>
      <c r="U41" s="156">
        <f t="shared" si="45"/>
        <v>27.722000000000008</v>
      </c>
      <c r="V41" s="157">
        <f t="shared" si="36"/>
        <v>113.68987654320988</v>
      </c>
      <c r="X41" s="154">
        <v>0</v>
      </c>
      <c r="Y41" s="156">
        <f t="shared" si="46"/>
        <v>230.22200000000001</v>
      </c>
      <c r="Z41" s="157"/>
    </row>
    <row r="42" spans="1:33" s="151" customFormat="1" ht="23.25" x14ac:dyDescent="0.25">
      <c r="A42" s="149">
        <f t="shared" si="43"/>
        <v>20</v>
      </c>
      <c r="B42" s="63" t="s">
        <v>8</v>
      </c>
      <c r="C42" s="150" t="s">
        <v>20</v>
      </c>
      <c r="D42" s="154">
        <v>1400</v>
      </c>
      <c r="E42" s="154">
        <v>1400</v>
      </c>
      <c r="F42" s="154">
        <f t="shared" si="29"/>
        <v>1324.0800000000002</v>
      </c>
      <c r="G42" s="154">
        <v>161.375</v>
      </c>
      <c r="H42" s="154">
        <v>156.322</v>
      </c>
      <c r="I42" s="154">
        <v>144.40100000000001</v>
      </c>
      <c r="J42" s="154">
        <v>126.51600000000001</v>
      </c>
      <c r="K42" s="154">
        <v>134.447</v>
      </c>
      <c r="L42" s="154">
        <v>125.53100000000001</v>
      </c>
      <c r="M42" s="154">
        <v>199.05099999999999</v>
      </c>
      <c r="N42" s="154">
        <v>144.816</v>
      </c>
      <c r="O42" s="154">
        <v>131.62100000000001</v>
      </c>
      <c r="P42" s="157">
        <f t="shared" si="35"/>
        <v>94.577142857142874</v>
      </c>
      <c r="Q42" s="155">
        <v>1306</v>
      </c>
      <c r="R42" s="156">
        <f t="shared" si="44"/>
        <v>18.080000000000155</v>
      </c>
      <c r="S42" s="157">
        <f>F42/Q42*100</f>
        <v>101.38437978560491</v>
      </c>
      <c r="T42" s="156">
        <f t="shared" si="25"/>
        <v>1050</v>
      </c>
      <c r="U42" s="156">
        <f t="shared" si="45"/>
        <v>274.08000000000015</v>
      </c>
      <c r="V42" s="157">
        <f t="shared" si="36"/>
        <v>126.10285714285716</v>
      </c>
      <c r="X42" s="154">
        <v>41602.846999999994</v>
      </c>
      <c r="Y42" s="156">
        <f t="shared" si="46"/>
        <v>-40278.766999999993</v>
      </c>
      <c r="Z42" s="157">
        <f>F42/X42*100</f>
        <v>3.1826668016253801</v>
      </c>
      <c r="AD42" s="151">
        <v>246438.04</v>
      </c>
    </row>
    <row r="43" spans="1:33" s="151" customFormat="1" ht="58.5" x14ac:dyDescent="0.25">
      <c r="A43" s="149">
        <f t="shared" si="43"/>
        <v>21</v>
      </c>
      <c r="B43" s="63" t="s">
        <v>164</v>
      </c>
      <c r="C43" s="150" t="s">
        <v>163</v>
      </c>
      <c r="D43" s="154">
        <v>0</v>
      </c>
      <c r="E43" s="154">
        <v>0</v>
      </c>
      <c r="F43" s="154">
        <f t="shared" si="29"/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4">
        <v>0</v>
      </c>
      <c r="O43" s="154">
        <v>0</v>
      </c>
      <c r="P43" s="157"/>
      <c r="Q43" s="155">
        <v>0</v>
      </c>
      <c r="R43" s="156">
        <f t="shared" si="44"/>
        <v>0</v>
      </c>
      <c r="S43" s="157"/>
      <c r="T43" s="156">
        <f t="shared" si="25"/>
        <v>0</v>
      </c>
      <c r="U43" s="156">
        <f t="shared" si="45"/>
        <v>0</v>
      </c>
      <c r="V43" s="157"/>
      <c r="X43" s="154">
        <v>87.876999999999995</v>
      </c>
      <c r="Y43" s="156">
        <f t="shared" si="46"/>
        <v>-87.876999999999995</v>
      </c>
      <c r="Z43" s="157"/>
    </row>
    <row r="44" spans="1:33" s="151" customFormat="1" ht="136.5" x14ac:dyDescent="0.25">
      <c r="A44" s="149">
        <f t="shared" si="43"/>
        <v>22</v>
      </c>
      <c r="B44" s="63" t="s">
        <v>53</v>
      </c>
      <c r="C44" s="150" t="s">
        <v>47</v>
      </c>
      <c r="D44" s="154">
        <v>1000</v>
      </c>
      <c r="E44" s="154">
        <v>1000</v>
      </c>
      <c r="F44" s="154">
        <f t="shared" si="29"/>
        <v>928.50599999999986</v>
      </c>
      <c r="G44" s="154">
        <v>2.294</v>
      </c>
      <c r="H44" s="154">
        <v>266.43799999999999</v>
      </c>
      <c r="I44" s="154">
        <v>61.570999999999998</v>
      </c>
      <c r="J44" s="154">
        <v>32.951000000000001</v>
      </c>
      <c r="K44" s="154">
        <v>52.198</v>
      </c>
      <c r="L44" s="154">
        <v>378.97300000000001</v>
      </c>
      <c r="M44" s="154">
        <v>2.1840000000000002</v>
      </c>
      <c r="N44" s="154">
        <v>131.89699999999999</v>
      </c>
      <c r="O44" s="154">
        <v>0</v>
      </c>
      <c r="P44" s="157">
        <f t="shared" ref="P44:P49" si="47">F44/E44*100</f>
        <v>92.850599999999986</v>
      </c>
      <c r="Q44" s="155">
        <v>924</v>
      </c>
      <c r="R44" s="156">
        <f t="shared" si="44"/>
        <v>4.5059999999998581</v>
      </c>
      <c r="S44" s="157">
        <f>F44/Q44*100</f>
        <v>100.48766233766233</v>
      </c>
      <c r="T44" s="156">
        <f t="shared" si="25"/>
        <v>750</v>
      </c>
      <c r="U44" s="156">
        <f t="shared" si="45"/>
        <v>178.50599999999986</v>
      </c>
      <c r="V44" s="157">
        <f t="shared" ref="V44:V49" si="48">F44/T44*100</f>
        <v>123.80079999999998</v>
      </c>
      <c r="X44" s="154">
        <v>985.58</v>
      </c>
      <c r="Y44" s="156">
        <f t="shared" si="46"/>
        <v>-57.074000000000183</v>
      </c>
      <c r="Z44" s="157">
        <f>F44/X44*100</f>
        <v>94.20909515209317</v>
      </c>
      <c r="AC44" s="151">
        <v>308493.50900000002</v>
      </c>
    </row>
    <row r="45" spans="1:33" s="151" customFormat="1" ht="78" x14ac:dyDescent="0.25">
      <c r="A45" s="149">
        <f t="shared" si="43"/>
        <v>23</v>
      </c>
      <c r="B45" s="63" t="s">
        <v>134</v>
      </c>
      <c r="C45" s="150" t="s">
        <v>133</v>
      </c>
      <c r="D45" s="154">
        <v>15</v>
      </c>
      <c r="E45" s="154">
        <v>15</v>
      </c>
      <c r="F45" s="154">
        <f t="shared" si="29"/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7">
        <f t="shared" si="47"/>
        <v>0</v>
      </c>
      <c r="Q45" s="155">
        <v>0</v>
      </c>
      <c r="R45" s="156">
        <f t="shared" si="44"/>
        <v>0</v>
      </c>
      <c r="S45" s="157"/>
      <c r="T45" s="156">
        <f t="shared" si="25"/>
        <v>11.25</v>
      </c>
      <c r="U45" s="156">
        <f t="shared" si="45"/>
        <v>-11.25</v>
      </c>
      <c r="V45" s="157">
        <f t="shared" si="48"/>
        <v>0</v>
      </c>
      <c r="X45" s="154">
        <v>36.600999999999992</v>
      </c>
      <c r="Y45" s="156">
        <f t="shared" si="46"/>
        <v>-36.600999999999992</v>
      </c>
      <c r="Z45" s="157">
        <f>F45/X45*100</f>
        <v>0</v>
      </c>
      <c r="AB45" s="57">
        <f>F47-F42</f>
        <v>2635596.8710000003</v>
      </c>
      <c r="AC45" s="57">
        <f>X47-X42</f>
        <v>2248163.5139999995</v>
      </c>
      <c r="AD45" s="58">
        <f>AB45/AC45</f>
        <v>1.1723332642787481</v>
      </c>
    </row>
    <row r="46" spans="1:33" s="151" customFormat="1" ht="39" x14ac:dyDescent="0.25">
      <c r="A46" s="149">
        <f t="shared" si="43"/>
        <v>24</v>
      </c>
      <c r="B46" s="63" t="s">
        <v>89</v>
      </c>
      <c r="C46" s="150" t="s">
        <v>88</v>
      </c>
      <c r="D46" s="154">
        <v>4.4000000000000004</v>
      </c>
      <c r="E46" s="154">
        <v>4.4000000000000004</v>
      </c>
      <c r="F46" s="154">
        <f t="shared" si="29"/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7">
        <f t="shared" si="47"/>
        <v>0</v>
      </c>
      <c r="Q46" s="155">
        <v>0</v>
      </c>
      <c r="R46" s="156">
        <f t="shared" si="44"/>
        <v>0</v>
      </c>
      <c r="S46" s="157"/>
      <c r="T46" s="156">
        <f t="shared" si="25"/>
        <v>3.3000000000000003</v>
      </c>
      <c r="U46" s="156">
        <f t="shared" si="45"/>
        <v>-3.3000000000000003</v>
      </c>
      <c r="V46" s="157">
        <f t="shared" si="48"/>
        <v>0</v>
      </c>
      <c r="X46" s="154">
        <v>2.9350000000000001</v>
      </c>
      <c r="Y46" s="156">
        <f t="shared" si="46"/>
        <v>-2.9350000000000001</v>
      </c>
      <c r="Z46" s="157"/>
    </row>
    <row r="47" spans="1:33" s="68" customFormat="1" ht="46.5" customHeight="1" x14ac:dyDescent="0.3">
      <c r="A47" s="64"/>
      <c r="B47" s="65" t="s">
        <v>159</v>
      </c>
      <c r="C47" s="152"/>
      <c r="D47" s="152">
        <f>D7+D8+D9+D14+D18+D25+D26+D27+D28+D29+D30+D31+D33+D38+D39+D40+D41+D42+D44+D46+D45</f>
        <v>3751621.3889999995</v>
      </c>
      <c r="E47" s="152">
        <f>E7+E8+E9+E14+E18+E25+E26+E27+E28+E29+E30+E31+E33+E38+E39+E40+E41+E42+E44+E46+E45+E32</f>
        <v>3751621.3889999995</v>
      </c>
      <c r="F47" s="152">
        <f t="shared" si="29"/>
        <v>2636920.9510000004</v>
      </c>
      <c r="G47" s="152">
        <f>G7+G8+G9+G14+G18+G25+G26+G27+G28+G29+G30+G31+G33+G38+G39+G40+G41+G42+G44+G46+G45+G32</f>
        <v>237295.24299999996</v>
      </c>
      <c r="H47" s="152">
        <f t="shared" ref="H47:O47" si="49">H7+H8+H9+H14+H18+H25+H26+H27+H28+H29+H30+H31+H33+H38+H39+H40+H41+H42+H44+H46+H45+H32</f>
        <v>305315.03200000006</v>
      </c>
      <c r="I47" s="152">
        <f t="shared" ref="I47:N47" si="50">I7+I8+I9+I14+I18+I25+I26+I27+I28+I29+I30+I31+I33+I38+I39+I40+I41+I42+I44+I46+I45+I32</f>
        <v>276790.2</v>
      </c>
      <c r="J47" s="152">
        <f t="shared" si="50"/>
        <v>310545.73499999999</v>
      </c>
      <c r="K47" s="152">
        <f t="shared" si="50"/>
        <v>308493.50899999996</v>
      </c>
      <c r="L47" s="152">
        <f t="shared" si="50"/>
        <v>294480.42599999998</v>
      </c>
      <c r="M47" s="152">
        <f t="shared" si="50"/>
        <v>323392.28900000005</v>
      </c>
      <c r="N47" s="152">
        <f t="shared" si="50"/>
        <v>310292.29000000004</v>
      </c>
      <c r="O47" s="152">
        <f t="shared" si="49"/>
        <v>270316.22699999996</v>
      </c>
      <c r="P47" s="67">
        <f t="shared" si="47"/>
        <v>70.287501791402136</v>
      </c>
      <c r="Q47" s="152">
        <f>Q7+Q8+Q9+Q14+Q18+Q25+Q26+Q27+Q28+Q29+Q30+Q31+Q33+Q38+Q39+Q40+Q41+Q42+Q44+Q46+Q45+Q32</f>
        <v>2479071.7589999996</v>
      </c>
      <c r="R47" s="66">
        <f t="shared" si="44"/>
        <v>157849.19200000074</v>
      </c>
      <c r="S47" s="67">
        <f>F47/Q47*100</f>
        <v>106.36726998429739</v>
      </c>
      <c r="T47" s="152">
        <f>T7+T8+T9+T14+T18+T25+T26+T27+T28+T29+T30+T31+T33+T38+T39+T40+T41+T42+T44+T46+T45+T32+T43</f>
        <v>2813716.0417499994</v>
      </c>
      <c r="U47" s="66">
        <f t="shared" si="45"/>
        <v>-176795.09074999904</v>
      </c>
      <c r="V47" s="67">
        <f t="shared" si="48"/>
        <v>93.716669055202857</v>
      </c>
      <c r="X47" s="152">
        <f>X7+X8+X9+X14+X18+X25+X26+X27+X28+X29+X30+X31+X33+X38+X39+X40+X41+X42+X44+X46+X45+X24+X43</f>
        <v>2289766.3609999996</v>
      </c>
      <c r="Y47" s="66">
        <f t="shared" si="46"/>
        <v>347154.59000000078</v>
      </c>
      <c r="Z47" s="67">
        <f>F47/X47*100</f>
        <v>115.16113590944666</v>
      </c>
      <c r="AA47" s="69">
        <v>2043328.321</v>
      </c>
      <c r="AB47" s="69">
        <f>AA47-X47</f>
        <v>-246438.03999999957</v>
      </c>
      <c r="AE47" s="69" t="e">
        <f>#REF!-#REF!-#REF!</f>
        <v>#REF!</v>
      </c>
      <c r="AG47" s="68">
        <v>294547.38299999997</v>
      </c>
    </row>
    <row r="48" spans="1:33" s="8" customFormat="1" ht="39" x14ac:dyDescent="0.25">
      <c r="A48" s="188">
        <v>1</v>
      </c>
      <c r="B48" s="147" t="s">
        <v>198</v>
      </c>
      <c r="C48" s="140" t="s">
        <v>197</v>
      </c>
      <c r="D48" s="160">
        <v>0</v>
      </c>
      <c r="E48" s="160">
        <v>3128.8</v>
      </c>
      <c r="F48" s="154">
        <f t="shared" si="29"/>
        <v>783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154">
        <v>0</v>
      </c>
      <c r="M48" s="154">
        <v>0</v>
      </c>
      <c r="N48" s="154">
        <v>0</v>
      </c>
      <c r="O48" s="154">
        <v>783</v>
      </c>
      <c r="P48" s="157">
        <f t="shared" si="47"/>
        <v>25.025568908207617</v>
      </c>
      <c r="Q48" s="154">
        <v>783</v>
      </c>
      <c r="R48" s="156">
        <f t="shared" ref="R48" si="51">F48-Q48</f>
        <v>0</v>
      </c>
      <c r="S48" s="157">
        <f>F48/Q48*100</f>
        <v>100</v>
      </c>
      <c r="T48" s="154">
        <f>Q48</f>
        <v>783</v>
      </c>
      <c r="U48" s="156">
        <f t="shared" ref="U48" si="52">F48-T48</f>
        <v>0</v>
      </c>
      <c r="V48" s="157">
        <f t="shared" si="48"/>
        <v>100</v>
      </c>
      <c r="X48" s="154">
        <v>0</v>
      </c>
      <c r="Y48" s="156">
        <f t="shared" si="46"/>
        <v>783</v>
      </c>
      <c r="Z48" s="157"/>
      <c r="AA48" s="33"/>
      <c r="AB48" s="33"/>
      <c r="AC48" s="33"/>
      <c r="AD48" s="35"/>
    </row>
    <row r="49" spans="1:30" s="8" customFormat="1" ht="37.5" customHeight="1" x14ac:dyDescent="0.25">
      <c r="A49" s="180">
        <f>A48+1</f>
        <v>2</v>
      </c>
      <c r="B49" s="147" t="s">
        <v>199</v>
      </c>
      <c r="C49" s="140" t="s">
        <v>55</v>
      </c>
      <c r="D49" s="160">
        <v>717803.4</v>
      </c>
      <c r="E49" s="160">
        <v>717803.4</v>
      </c>
      <c r="F49" s="154">
        <f t="shared" si="29"/>
        <v>528119.00000000012</v>
      </c>
      <c r="G49" s="154">
        <v>44804.3</v>
      </c>
      <c r="H49" s="154">
        <v>52312.800000000003</v>
      </c>
      <c r="I49" s="154">
        <v>54480.800000000003</v>
      </c>
      <c r="J49" s="154">
        <v>55203.4</v>
      </c>
      <c r="K49" s="154">
        <v>71101.8</v>
      </c>
      <c r="L49" s="154">
        <v>137361.60000000001</v>
      </c>
      <c r="M49" s="154">
        <v>24852.1</v>
      </c>
      <c r="N49" s="154">
        <v>28465.4</v>
      </c>
      <c r="O49" s="154">
        <v>59536.800000000003</v>
      </c>
      <c r="P49" s="157">
        <f t="shared" si="47"/>
        <v>73.574324111588226</v>
      </c>
      <c r="Q49" s="154">
        <v>528119</v>
      </c>
      <c r="R49" s="156">
        <f t="shared" si="44"/>
        <v>0</v>
      </c>
      <c r="S49" s="157">
        <f>F49/Q49*100</f>
        <v>100.00000000000003</v>
      </c>
      <c r="T49" s="154">
        <f>Q49</f>
        <v>528119</v>
      </c>
      <c r="U49" s="156">
        <f t="shared" si="45"/>
        <v>0</v>
      </c>
      <c r="V49" s="157">
        <f t="shared" si="48"/>
        <v>100.00000000000003</v>
      </c>
      <c r="X49" s="154">
        <v>419894.1</v>
      </c>
      <c r="Y49" s="156">
        <f t="shared" si="46"/>
        <v>108224.90000000014</v>
      </c>
      <c r="Z49" s="157">
        <f>F49/X49*100</f>
        <v>125.77433214708189</v>
      </c>
      <c r="AA49" s="33"/>
      <c r="AB49" s="33"/>
      <c r="AC49" s="33"/>
      <c r="AD49" s="35"/>
    </row>
    <row r="50" spans="1:30" s="8" customFormat="1" ht="23.25" x14ac:dyDescent="0.25">
      <c r="A50" s="188">
        <f t="shared" ref="A50:A58" si="53">A49+1</f>
        <v>3</v>
      </c>
      <c r="B50" s="147" t="s">
        <v>200</v>
      </c>
      <c r="C50" s="140" t="s">
        <v>56</v>
      </c>
      <c r="D50" s="160">
        <v>0</v>
      </c>
      <c r="E50" s="160">
        <v>0</v>
      </c>
      <c r="F50" s="154">
        <f t="shared" si="29"/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54">
        <v>0</v>
      </c>
      <c r="P50" s="157"/>
      <c r="Q50" s="154">
        <v>0</v>
      </c>
      <c r="R50" s="156">
        <f t="shared" si="44"/>
        <v>0</v>
      </c>
      <c r="S50" s="157"/>
      <c r="T50" s="154">
        <f t="shared" ref="T50:T70" si="54">Q50</f>
        <v>0</v>
      </c>
      <c r="U50" s="156">
        <f t="shared" si="45"/>
        <v>0</v>
      </c>
      <c r="V50" s="157"/>
      <c r="X50" s="154">
        <v>72658.799999999988</v>
      </c>
      <c r="Y50" s="156">
        <f t="shared" si="46"/>
        <v>-72658.799999999988</v>
      </c>
      <c r="Z50" s="157">
        <f>F50/X50*100</f>
        <v>0</v>
      </c>
      <c r="AA50" s="33"/>
      <c r="AB50" s="33"/>
      <c r="AC50" s="33"/>
      <c r="AD50" s="35"/>
    </row>
    <row r="51" spans="1:30" s="8" customFormat="1" ht="39" x14ac:dyDescent="0.25">
      <c r="A51" s="188">
        <f t="shared" si="53"/>
        <v>4</v>
      </c>
      <c r="B51" s="147" t="s">
        <v>201</v>
      </c>
      <c r="C51" s="140" t="s">
        <v>174</v>
      </c>
      <c r="D51" s="160">
        <v>0</v>
      </c>
      <c r="E51" s="160">
        <v>10000</v>
      </c>
      <c r="F51" s="154">
        <f t="shared" si="29"/>
        <v>10000</v>
      </c>
      <c r="G51" s="154">
        <v>0</v>
      </c>
      <c r="H51" s="154">
        <v>0</v>
      </c>
      <c r="I51" s="154">
        <v>0</v>
      </c>
      <c r="J51" s="154">
        <v>0</v>
      </c>
      <c r="K51" s="154">
        <v>3516</v>
      </c>
      <c r="L51" s="154">
        <v>1758</v>
      </c>
      <c r="M51" s="154">
        <v>1758</v>
      </c>
      <c r="N51" s="154">
        <v>1758</v>
      </c>
      <c r="O51" s="154">
        <v>1210</v>
      </c>
      <c r="P51" s="157">
        <f>F51/E51*100</f>
        <v>100</v>
      </c>
      <c r="Q51" s="154">
        <v>10000</v>
      </c>
      <c r="R51" s="156">
        <f t="shared" si="44"/>
        <v>0</v>
      </c>
      <c r="S51" s="157">
        <f>F51/Q51*100</f>
        <v>100</v>
      </c>
      <c r="T51" s="154">
        <f t="shared" si="54"/>
        <v>10000</v>
      </c>
      <c r="U51" s="156">
        <f t="shared" si="45"/>
        <v>0</v>
      </c>
      <c r="V51" s="157">
        <f>F51/T51*100</f>
        <v>100</v>
      </c>
      <c r="X51" s="154">
        <v>0</v>
      </c>
      <c r="Y51" s="156">
        <f t="shared" si="46"/>
        <v>10000</v>
      </c>
      <c r="Z51" s="157"/>
      <c r="AA51" s="33"/>
      <c r="AB51" s="33"/>
      <c r="AC51" s="33"/>
      <c r="AD51" s="35"/>
    </row>
    <row r="52" spans="1:30" s="8" customFormat="1" ht="58.5" x14ac:dyDescent="0.25">
      <c r="A52" s="188">
        <f t="shared" si="53"/>
        <v>5</v>
      </c>
      <c r="B52" s="165" t="s">
        <v>202</v>
      </c>
      <c r="C52" s="181" t="s">
        <v>120</v>
      </c>
      <c r="D52" s="160">
        <v>0</v>
      </c>
      <c r="E52" s="160">
        <v>0</v>
      </c>
      <c r="F52" s="154">
        <f t="shared" si="29"/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154">
        <v>0</v>
      </c>
      <c r="M52" s="154">
        <v>0</v>
      </c>
      <c r="N52" s="154">
        <v>0</v>
      </c>
      <c r="O52" s="154">
        <v>0</v>
      </c>
      <c r="P52" s="157"/>
      <c r="Q52" s="154">
        <v>0</v>
      </c>
      <c r="R52" s="156">
        <f t="shared" si="44"/>
        <v>0</v>
      </c>
      <c r="S52" s="157"/>
      <c r="T52" s="154">
        <f t="shared" si="54"/>
        <v>0</v>
      </c>
      <c r="U52" s="156">
        <f t="shared" si="45"/>
        <v>0</v>
      </c>
      <c r="V52" s="157"/>
      <c r="X52" s="154">
        <v>12210.8</v>
      </c>
      <c r="Y52" s="156">
        <f t="shared" si="46"/>
        <v>-12210.8</v>
      </c>
      <c r="Z52" s="157">
        <f>F52/X52*100</f>
        <v>0</v>
      </c>
      <c r="AA52" s="33"/>
      <c r="AB52" s="33"/>
      <c r="AC52" s="33"/>
      <c r="AD52" s="35"/>
    </row>
    <row r="53" spans="1:30" s="8" customFormat="1" ht="214.5" x14ac:dyDescent="0.25">
      <c r="A53" s="188">
        <f t="shared" si="53"/>
        <v>6</v>
      </c>
      <c r="B53" s="165" t="s">
        <v>183</v>
      </c>
      <c r="C53" s="184" t="s">
        <v>184</v>
      </c>
      <c r="D53" s="160"/>
      <c r="E53" s="160">
        <v>3202.9960000000001</v>
      </c>
      <c r="F53" s="154">
        <f t="shared" si="29"/>
        <v>3202.9960000000001</v>
      </c>
      <c r="G53" s="154">
        <v>0</v>
      </c>
      <c r="H53" s="154">
        <v>0</v>
      </c>
      <c r="I53" s="154">
        <v>0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  <c r="O53" s="154">
        <v>3202.9960000000001</v>
      </c>
      <c r="P53" s="157">
        <f t="shared" ref="P53:P58" si="55">F53/E53*100</f>
        <v>100</v>
      </c>
      <c r="Q53" s="154">
        <v>3202.9960000000001</v>
      </c>
      <c r="R53" s="156">
        <f t="shared" si="44"/>
        <v>0</v>
      </c>
      <c r="S53" s="157">
        <f t="shared" ref="S53:S55" si="56">F53/Q53*100</f>
        <v>100</v>
      </c>
      <c r="T53" s="154">
        <f t="shared" si="54"/>
        <v>3202.9960000000001</v>
      </c>
      <c r="U53" s="156">
        <f t="shared" si="45"/>
        <v>0</v>
      </c>
      <c r="V53" s="157">
        <f t="shared" ref="V53:V55" si="57">F53/T53*100</f>
        <v>100</v>
      </c>
      <c r="X53" s="154">
        <v>7225.5249999999996</v>
      </c>
      <c r="Y53" s="156">
        <f t="shared" ref="Y53:Y55" si="58">F53-X53</f>
        <v>-4022.5289999999995</v>
      </c>
      <c r="Z53" s="157">
        <f t="shared" ref="Z53:Z55" si="59">F53/X53*100</f>
        <v>44.328903436082499</v>
      </c>
      <c r="AA53" s="33"/>
      <c r="AB53" s="33"/>
      <c r="AC53" s="33"/>
      <c r="AD53" s="35"/>
    </row>
    <row r="54" spans="1:30" s="8" customFormat="1" ht="214.5" x14ac:dyDescent="0.25">
      <c r="A54" s="188">
        <f t="shared" si="53"/>
        <v>7</v>
      </c>
      <c r="B54" s="165" t="s">
        <v>185</v>
      </c>
      <c r="C54" s="184" t="s">
        <v>186</v>
      </c>
      <c r="D54" s="160"/>
      <c r="E54" s="160">
        <v>1387.925</v>
      </c>
      <c r="F54" s="154">
        <f t="shared" si="29"/>
        <v>1387.925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1387.925</v>
      </c>
      <c r="P54" s="157">
        <f t="shared" si="55"/>
        <v>100</v>
      </c>
      <c r="Q54" s="154">
        <v>1387.925</v>
      </c>
      <c r="R54" s="156">
        <f t="shared" si="44"/>
        <v>0</v>
      </c>
      <c r="S54" s="157">
        <f t="shared" si="56"/>
        <v>100</v>
      </c>
      <c r="T54" s="154">
        <f t="shared" si="54"/>
        <v>1387.925</v>
      </c>
      <c r="U54" s="156">
        <f t="shared" si="45"/>
        <v>0</v>
      </c>
      <c r="V54" s="157">
        <f t="shared" si="57"/>
        <v>100</v>
      </c>
      <c r="X54" s="154">
        <v>1007.963</v>
      </c>
      <c r="Y54" s="156">
        <f t="shared" si="58"/>
        <v>379.96199999999999</v>
      </c>
      <c r="Z54" s="157">
        <f t="shared" si="59"/>
        <v>137.69602654065676</v>
      </c>
      <c r="AA54" s="33"/>
      <c r="AB54" s="33"/>
      <c r="AC54" s="33"/>
      <c r="AD54" s="35"/>
    </row>
    <row r="55" spans="1:30" s="8" customFormat="1" ht="312" x14ac:dyDescent="0.25">
      <c r="A55" s="188">
        <f t="shared" si="53"/>
        <v>8</v>
      </c>
      <c r="B55" s="165" t="s">
        <v>187</v>
      </c>
      <c r="C55" s="184" t="s">
        <v>188</v>
      </c>
      <c r="D55" s="160"/>
      <c r="E55" s="160">
        <v>2654.32</v>
      </c>
      <c r="F55" s="154">
        <f t="shared" si="29"/>
        <v>2654.32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154">
        <v>0</v>
      </c>
      <c r="M55" s="154">
        <v>0</v>
      </c>
      <c r="N55" s="154">
        <v>0</v>
      </c>
      <c r="O55" s="154">
        <v>2654.32</v>
      </c>
      <c r="P55" s="157">
        <f t="shared" si="55"/>
        <v>100</v>
      </c>
      <c r="Q55" s="154">
        <v>2654.32</v>
      </c>
      <c r="R55" s="156">
        <f t="shared" si="44"/>
        <v>0</v>
      </c>
      <c r="S55" s="157">
        <f t="shared" si="56"/>
        <v>100</v>
      </c>
      <c r="T55" s="154">
        <f t="shared" si="54"/>
        <v>2654.32</v>
      </c>
      <c r="U55" s="156">
        <f t="shared" si="45"/>
        <v>0</v>
      </c>
      <c r="V55" s="157">
        <f t="shared" si="57"/>
        <v>100</v>
      </c>
      <c r="X55" s="154">
        <v>2751.9989999999998</v>
      </c>
      <c r="Y55" s="156">
        <f t="shared" si="58"/>
        <v>-97.678999999999633</v>
      </c>
      <c r="Z55" s="157">
        <f t="shared" si="59"/>
        <v>96.450616442811224</v>
      </c>
      <c r="AA55" s="33"/>
      <c r="AB55" s="33"/>
      <c r="AC55" s="33"/>
      <c r="AD55" s="35"/>
    </row>
    <row r="56" spans="1:30" s="8" customFormat="1" ht="39" x14ac:dyDescent="0.25">
      <c r="A56" s="188">
        <f t="shared" si="53"/>
        <v>9</v>
      </c>
      <c r="B56" s="165" t="s">
        <v>203</v>
      </c>
      <c r="C56" s="181" t="s">
        <v>129</v>
      </c>
      <c r="D56" s="160">
        <v>11474.77</v>
      </c>
      <c r="E56" s="160">
        <v>11474.77</v>
      </c>
      <c r="F56" s="154">
        <f t="shared" si="29"/>
        <v>8442.4880000000012</v>
      </c>
      <c r="G56" s="154">
        <v>716.24</v>
      </c>
      <c r="H56" s="154">
        <v>836.27099999999996</v>
      </c>
      <c r="I56" s="154">
        <v>870.92700000000002</v>
      </c>
      <c r="J56" s="154">
        <v>882.48</v>
      </c>
      <c r="K56" s="154">
        <v>1136.6300000000001</v>
      </c>
      <c r="L56" s="154">
        <v>2195.857</v>
      </c>
      <c r="M56" s="154">
        <v>397.28500000000003</v>
      </c>
      <c r="N56" s="154">
        <v>455.04599999999999</v>
      </c>
      <c r="O56" s="154">
        <v>951.75199999999995</v>
      </c>
      <c r="P56" s="157">
        <f t="shared" si="55"/>
        <v>73.574354867243528</v>
      </c>
      <c r="Q56" s="155">
        <v>8442.4879999999994</v>
      </c>
      <c r="R56" s="156">
        <f t="shared" si="44"/>
        <v>0</v>
      </c>
      <c r="S56" s="157">
        <f>F56/Q56*100</f>
        <v>100.00000000000003</v>
      </c>
      <c r="T56" s="154">
        <f t="shared" si="54"/>
        <v>8442.4879999999994</v>
      </c>
      <c r="U56" s="156">
        <f t="shared" si="45"/>
        <v>0</v>
      </c>
      <c r="V56" s="157">
        <f>F56/T56*100</f>
        <v>100.00000000000003</v>
      </c>
      <c r="X56" s="154">
        <v>5233.5649999999996</v>
      </c>
      <c r="Y56" s="156">
        <f t="shared" si="46"/>
        <v>3208.9230000000016</v>
      </c>
      <c r="Z56" s="157">
        <f>F56/X56*100</f>
        <v>161.31428576887842</v>
      </c>
    </row>
    <row r="57" spans="1:30" s="8" customFormat="1" ht="58.5" x14ac:dyDescent="0.25">
      <c r="A57" s="188">
        <f t="shared" si="53"/>
        <v>10</v>
      </c>
      <c r="B57" s="165" t="s">
        <v>204</v>
      </c>
      <c r="C57" s="181">
        <v>41051200</v>
      </c>
      <c r="D57" s="160">
        <v>4100.6319999999996</v>
      </c>
      <c r="E57" s="160">
        <v>4100.6319999999996</v>
      </c>
      <c r="F57" s="154">
        <f t="shared" si="29"/>
        <v>2446.6769999999997</v>
      </c>
      <c r="G57" s="154">
        <v>203.22900000000001</v>
      </c>
      <c r="H57" s="154">
        <v>203.22900000000001</v>
      </c>
      <c r="I57" s="154">
        <v>203.22900000000001</v>
      </c>
      <c r="J57" s="154">
        <v>297.09899999999999</v>
      </c>
      <c r="K57" s="154">
        <v>226.691</v>
      </c>
      <c r="L57" s="154">
        <v>633.12699999999995</v>
      </c>
      <c r="M57" s="154">
        <v>226.691</v>
      </c>
      <c r="N57" s="154">
        <v>226.691</v>
      </c>
      <c r="O57" s="154">
        <v>226.691</v>
      </c>
      <c r="P57" s="157">
        <f t="shared" si="55"/>
        <v>59.665851507767577</v>
      </c>
      <c r="Q57" s="155">
        <v>2446.6770000000001</v>
      </c>
      <c r="R57" s="156">
        <f t="shared" si="44"/>
        <v>0</v>
      </c>
      <c r="S57" s="157">
        <f>F57/Q57*100</f>
        <v>99.999999999999972</v>
      </c>
      <c r="T57" s="154">
        <f t="shared" si="54"/>
        <v>2446.6770000000001</v>
      </c>
      <c r="U57" s="156">
        <f t="shared" si="45"/>
        <v>0</v>
      </c>
      <c r="V57" s="157">
        <f>F57/T57*100</f>
        <v>99.999999999999972</v>
      </c>
      <c r="X57" s="154">
        <v>2782.6780000000003</v>
      </c>
      <c r="Y57" s="156">
        <f t="shared" si="46"/>
        <v>-336.00100000000066</v>
      </c>
      <c r="Z57" s="157">
        <f>F57/X57*100</f>
        <v>87.925264798873584</v>
      </c>
    </row>
    <row r="58" spans="1:30" s="8" customFormat="1" ht="58.5" x14ac:dyDescent="0.25">
      <c r="A58" s="188">
        <f t="shared" si="53"/>
        <v>11</v>
      </c>
      <c r="B58" s="165" t="s">
        <v>205</v>
      </c>
      <c r="C58" s="181" t="s">
        <v>173</v>
      </c>
      <c r="D58" s="160">
        <v>0</v>
      </c>
      <c r="E58" s="160">
        <v>10198.897000000001</v>
      </c>
      <c r="F58" s="154">
        <f t="shared" si="29"/>
        <v>10198.897000000001</v>
      </c>
      <c r="G58" s="154">
        <v>0</v>
      </c>
      <c r="H58" s="154">
        <v>0</v>
      </c>
      <c r="I58" s="154">
        <v>0</v>
      </c>
      <c r="J58" s="154">
        <v>0</v>
      </c>
      <c r="K58" s="154">
        <v>0</v>
      </c>
      <c r="L58" s="154">
        <v>0</v>
      </c>
      <c r="M58" s="154">
        <v>0</v>
      </c>
      <c r="N58" s="154">
        <v>7302.4260000000004</v>
      </c>
      <c r="O58" s="154">
        <v>2896.471</v>
      </c>
      <c r="P58" s="157">
        <f t="shared" si="55"/>
        <v>100</v>
      </c>
      <c r="Q58" s="155">
        <v>10198.897000000001</v>
      </c>
      <c r="R58" s="156">
        <f t="shared" si="44"/>
        <v>0</v>
      </c>
      <c r="S58" s="157">
        <f>F58/Q58*100</f>
        <v>100</v>
      </c>
      <c r="T58" s="154">
        <f t="shared" si="54"/>
        <v>10198.897000000001</v>
      </c>
      <c r="U58" s="156">
        <f t="shared" si="45"/>
        <v>0</v>
      </c>
      <c r="V58" s="157">
        <f>F58/T58*100</f>
        <v>100</v>
      </c>
      <c r="X58" s="154">
        <v>7750.8509999999987</v>
      </c>
      <c r="Y58" s="156">
        <f t="shared" si="46"/>
        <v>2448.0460000000021</v>
      </c>
      <c r="Z58" s="157">
        <f>F58/X58*100</f>
        <v>131.58422217121711</v>
      </c>
    </row>
    <row r="59" spans="1:30" s="8" customFormat="1" ht="39" x14ac:dyDescent="0.25">
      <c r="A59" s="200">
        <v>12</v>
      </c>
      <c r="B59" s="165" t="s">
        <v>217</v>
      </c>
      <c r="C59" s="201" t="s">
        <v>109</v>
      </c>
      <c r="D59" s="160">
        <f>SUM(D60:D61)</f>
        <v>0</v>
      </c>
      <c r="E59" s="160">
        <f>SUM(E60:E61)</f>
        <v>0</v>
      </c>
      <c r="F59" s="154">
        <f t="shared" si="29"/>
        <v>0</v>
      </c>
      <c r="G59" s="154">
        <f>SUM(G60:G61)</f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4">
        <v>0</v>
      </c>
      <c r="P59" s="157"/>
      <c r="Q59" s="155">
        <f>SUM(Q60:Q61)</f>
        <v>0</v>
      </c>
      <c r="R59" s="156">
        <f t="shared" si="44"/>
        <v>0</v>
      </c>
      <c r="S59" s="157"/>
      <c r="T59" s="154">
        <f t="shared" si="54"/>
        <v>0</v>
      </c>
      <c r="U59" s="156">
        <f t="shared" si="45"/>
        <v>0</v>
      </c>
      <c r="V59" s="157"/>
      <c r="X59" s="154">
        <v>5611.1929999999993</v>
      </c>
      <c r="Y59" s="156">
        <f t="shared" si="46"/>
        <v>-5611.1929999999993</v>
      </c>
      <c r="Z59" s="157"/>
    </row>
    <row r="60" spans="1:30" s="32" customFormat="1" ht="58.5" hidden="1" x14ac:dyDescent="0.25">
      <c r="A60" s="200"/>
      <c r="B60" s="166" t="s">
        <v>95</v>
      </c>
      <c r="C60" s="201"/>
      <c r="D60" s="161">
        <v>0</v>
      </c>
      <c r="E60" s="161">
        <v>0</v>
      </c>
      <c r="F60" s="158">
        <f t="shared" si="29"/>
        <v>0</v>
      </c>
      <c r="G60" s="158">
        <v>0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9"/>
      <c r="Q60" s="97">
        <v>0</v>
      </c>
      <c r="R60" s="98">
        <f t="shared" si="44"/>
        <v>0</v>
      </c>
      <c r="S60" s="159"/>
      <c r="T60" s="158">
        <f t="shared" si="54"/>
        <v>0</v>
      </c>
      <c r="U60" s="98">
        <f t="shared" si="45"/>
        <v>0</v>
      </c>
      <c r="V60" s="159"/>
      <c r="X60" s="158">
        <v>3462.7930000000001</v>
      </c>
      <c r="Y60" s="98">
        <f t="shared" si="46"/>
        <v>-3462.7930000000001</v>
      </c>
      <c r="Z60" s="159"/>
    </row>
    <row r="61" spans="1:30" s="32" customFormat="1" ht="39" hidden="1" x14ac:dyDescent="0.25">
      <c r="A61" s="200"/>
      <c r="B61" s="166" t="s">
        <v>105</v>
      </c>
      <c r="C61" s="201"/>
      <c r="D61" s="161">
        <v>0</v>
      </c>
      <c r="E61" s="161">
        <f t="shared" ref="E61" si="60">D61</f>
        <v>0</v>
      </c>
      <c r="F61" s="158">
        <f t="shared" si="29"/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9"/>
      <c r="Q61" s="97">
        <v>0</v>
      </c>
      <c r="R61" s="98">
        <f t="shared" si="44"/>
        <v>0</v>
      </c>
      <c r="S61" s="159"/>
      <c r="T61" s="158">
        <f t="shared" si="54"/>
        <v>0</v>
      </c>
      <c r="U61" s="98">
        <f t="shared" si="45"/>
        <v>0</v>
      </c>
      <c r="V61" s="159"/>
      <c r="X61" s="158">
        <v>2148.4</v>
      </c>
      <c r="Y61" s="98">
        <f t="shared" si="46"/>
        <v>-2148.4</v>
      </c>
      <c r="Z61" s="159"/>
      <c r="AC61" s="32" t="e">
        <f>AA61/#REF!*100</f>
        <v>#REF!</v>
      </c>
    </row>
    <row r="62" spans="1:30" s="32" customFormat="1" ht="58.5" x14ac:dyDescent="0.25">
      <c r="A62" s="180">
        <v>13</v>
      </c>
      <c r="B62" s="165" t="s">
        <v>206</v>
      </c>
      <c r="C62" s="181">
        <v>41051700</v>
      </c>
      <c r="D62" s="160">
        <v>0</v>
      </c>
      <c r="E62" s="160">
        <v>0</v>
      </c>
      <c r="F62" s="154">
        <f t="shared" si="29"/>
        <v>0</v>
      </c>
      <c r="G62" s="154">
        <v>0</v>
      </c>
      <c r="H62" s="154">
        <v>0</v>
      </c>
      <c r="I62" s="154">
        <v>0</v>
      </c>
      <c r="J62" s="154">
        <v>0</v>
      </c>
      <c r="K62" s="154">
        <v>0</v>
      </c>
      <c r="L62" s="154">
        <v>0</v>
      </c>
      <c r="M62" s="154">
        <v>0</v>
      </c>
      <c r="N62" s="154">
        <v>0</v>
      </c>
      <c r="O62" s="154">
        <v>0</v>
      </c>
      <c r="P62" s="159"/>
      <c r="Q62" s="154">
        <v>0</v>
      </c>
      <c r="R62" s="154">
        <v>0</v>
      </c>
      <c r="S62" s="159"/>
      <c r="T62" s="154">
        <f t="shared" si="54"/>
        <v>0</v>
      </c>
      <c r="U62" s="156">
        <f t="shared" si="45"/>
        <v>0</v>
      </c>
      <c r="V62" s="159"/>
      <c r="X62" s="154">
        <v>462.70299999999997</v>
      </c>
      <c r="Y62" s="156">
        <f t="shared" si="46"/>
        <v>-462.70299999999997</v>
      </c>
      <c r="Z62" s="159"/>
    </row>
    <row r="63" spans="1:30" s="32" customFormat="1" ht="58.5" x14ac:dyDescent="0.25">
      <c r="A63" s="188">
        <f>A62+1</f>
        <v>14</v>
      </c>
      <c r="B63" s="165" t="s">
        <v>207</v>
      </c>
      <c r="C63" s="189" t="s">
        <v>194</v>
      </c>
      <c r="D63" s="160">
        <v>0</v>
      </c>
      <c r="E63" s="160">
        <v>0</v>
      </c>
      <c r="F63" s="154">
        <f t="shared" si="29"/>
        <v>0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154">
        <v>0</v>
      </c>
      <c r="M63" s="154">
        <v>0</v>
      </c>
      <c r="N63" s="154">
        <v>0</v>
      </c>
      <c r="O63" s="154">
        <v>0</v>
      </c>
      <c r="P63" s="159"/>
      <c r="Q63" s="154">
        <v>0</v>
      </c>
      <c r="R63" s="154">
        <v>0</v>
      </c>
      <c r="S63" s="159"/>
      <c r="T63" s="154">
        <f t="shared" si="54"/>
        <v>0</v>
      </c>
      <c r="U63" s="156">
        <f t="shared" si="45"/>
        <v>0</v>
      </c>
      <c r="V63" s="159"/>
      <c r="X63" s="154">
        <v>1352.3720000000001</v>
      </c>
      <c r="Y63" s="156">
        <f t="shared" si="46"/>
        <v>-1352.3720000000001</v>
      </c>
      <c r="Z63" s="159"/>
    </row>
    <row r="64" spans="1:30" s="8" customFormat="1" ht="58.5" x14ac:dyDescent="0.25">
      <c r="A64" s="188">
        <f t="shared" ref="A64:A66" si="61">A63+1</f>
        <v>15</v>
      </c>
      <c r="B64" s="167" t="s">
        <v>208</v>
      </c>
      <c r="C64" s="181" t="s">
        <v>135</v>
      </c>
      <c r="D64" s="160">
        <v>7100</v>
      </c>
      <c r="E64" s="160">
        <v>17595.896000000001</v>
      </c>
      <c r="F64" s="154">
        <f t="shared" si="29"/>
        <v>17595.894999999997</v>
      </c>
      <c r="G64" s="154">
        <v>1183.3330000000001</v>
      </c>
      <c r="H64" s="154">
        <v>1183.3330000000001</v>
      </c>
      <c r="I64" s="154">
        <v>1183.3330000000001</v>
      </c>
      <c r="J64" s="154">
        <v>1183.3330000000001</v>
      </c>
      <c r="K64" s="154">
        <v>3056.2190000000001</v>
      </c>
      <c r="L64" s="154">
        <v>3087.8420000000001</v>
      </c>
      <c r="M64" s="154">
        <v>1510.6569999999999</v>
      </c>
      <c r="N64" s="154">
        <v>1510.6569999999999</v>
      </c>
      <c r="O64" s="154">
        <v>3697.1880000000001</v>
      </c>
      <c r="P64" s="157">
        <f>F64/E64*100</f>
        <v>99.999994316856586</v>
      </c>
      <c r="Q64" s="155">
        <v>17595.895</v>
      </c>
      <c r="R64" s="156">
        <f t="shared" ref="R64:R72" si="62">F64-Q64</f>
        <v>0</v>
      </c>
      <c r="S64" s="157">
        <f t="shared" ref="S64:S72" si="63">F64/Q64*100</f>
        <v>99.999999999999972</v>
      </c>
      <c r="T64" s="154">
        <f t="shared" si="54"/>
        <v>17595.895</v>
      </c>
      <c r="U64" s="156">
        <f t="shared" si="45"/>
        <v>0</v>
      </c>
      <c r="V64" s="157">
        <f t="shared" ref="V64:V72" si="64">F64/T64*100</f>
        <v>99.999999999999972</v>
      </c>
      <c r="X64" s="154">
        <v>9276.1</v>
      </c>
      <c r="Y64" s="156">
        <f t="shared" si="46"/>
        <v>8319.7949999999964</v>
      </c>
      <c r="Z64" s="157">
        <f t="shared" ref="Z64:Z70" si="65">F64/X64*100</f>
        <v>189.69065663371455</v>
      </c>
      <c r="AA64" s="154"/>
      <c r="AB64" s="154"/>
    </row>
    <row r="65" spans="1:28" s="8" customFormat="1" ht="78" x14ac:dyDescent="0.25">
      <c r="A65" s="188">
        <f t="shared" si="61"/>
        <v>16</v>
      </c>
      <c r="B65" s="167" t="s">
        <v>195</v>
      </c>
      <c r="C65" s="189" t="s">
        <v>196</v>
      </c>
      <c r="D65" s="160">
        <v>0</v>
      </c>
      <c r="E65" s="160">
        <v>0</v>
      </c>
      <c r="F65" s="154">
        <f t="shared" si="29"/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4">
        <v>0</v>
      </c>
      <c r="P65" s="157"/>
      <c r="Q65" s="155">
        <v>0</v>
      </c>
      <c r="R65" s="156">
        <f t="shared" si="62"/>
        <v>0</v>
      </c>
      <c r="S65" s="157"/>
      <c r="T65" s="154">
        <f t="shared" si="54"/>
        <v>0</v>
      </c>
      <c r="U65" s="156">
        <f t="shared" si="45"/>
        <v>0</v>
      </c>
      <c r="V65" s="157"/>
      <c r="X65" s="154">
        <v>4679.99</v>
      </c>
      <c r="Y65" s="156">
        <f t="shared" si="46"/>
        <v>-4679.99</v>
      </c>
      <c r="Z65" s="157"/>
      <c r="AA65" s="154"/>
      <c r="AB65" s="154"/>
    </row>
    <row r="66" spans="1:28" s="8" customFormat="1" ht="39.75" customHeight="1" x14ac:dyDescent="0.25">
      <c r="A66" s="188">
        <f t="shared" si="61"/>
        <v>17</v>
      </c>
      <c r="B66" s="167" t="s">
        <v>209</v>
      </c>
      <c r="C66" s="181" t="s">
        <v>121</v>
      </c>
      <c r="D66" s="160">
        <f>SUM(D67:D72)</f>
        <v>3644</v>
      </c>
      <c r="E66" s="160">
        <f>SUM(E67:E72)</f>
        <v>4594.2280000000001</v>
      </c>
      <c r="F66" s="154">
        <f t="shared" si="29"/>
        <v>3224.4949999999999</v>
      </c>
      <c r="G66" s="154">
        <f t="shared" ref="G66:Q66" si="66">SUM(G67:G72)</f>
        <v>0</v>
      </c>
      <c r="H66" s="154">
        <f t="shared" si="66"/>
        <v>57.276000000000003</v>
      </c>
      <c r="I66" s="154">
        <f t="shared" si="66"/>
        <v>466.01499999999999</v>
      </c>
      <c r="J66" s="154">
        <f t="shared" si="66"/>
        <v>231.05500000000001</v>
      </c>
      <c r="K66" s="154">
        <f>SUM(K67:K72)</f>
        <v>320.97299999999996</v>
      </c>
      <c r="L66" s="154">
        <f>SUM(L67:L72)</f>
        <v>297.8</v>
      </c>
      <c r="M66" s="154">
        <f>SUM(M67:M72)</f>
        <v>158.9</v>
      </c>
      <c r="N66" s="154">
        <f>SUM(N67:N72)</f>
        <v>738.21600000000001</v>
      </c>
      <c r="O66" s="154">
        <f>SUM(O67:O72)</f>
        <v>954.26</v>
      </c>
      <c r="P66" s="157">
        <f t="shared" ref="P66:P72" si="67">F66/E66*100</f>
        <v>70.185785294068992</v>
      </c>
      <c r="Q66" s="154">
        <f t="shared" si="66"/>
        <v>3512.9520000000002</v>
      </c>
      <c r="R66" s="156">
        <f t="shared" si="62"/>
        <v>-288.45700000000033</v>
      </c>
      <c r="S66" s="157">
        <f t="shared" si="63"/>
        <v>91.788757717156386</v>
      </c>
      <c r="T66" s="154">
        <f t="shared" si="54"/>
        <v>3512.9520000000002</v>
      </c>
      <c r="U66" s="156">
        <f t="shared" si="45"/>
        <v>-288.45700000000033</v>
      </c>
      <c r="V66" s="157">
        <f t="shared" si="64"/>
        <v>91.788757717156386</v>
      </c>
      <c r="X66" s="154">
        <f>SUM(X67:X73)</f>
        <v>2531.239</v>
      </c>
      <c r="Y66" s="156">
        <f t="shared" si="46"/>
        <v>693.25599999999986</v>
      </c>
      <c r="Z66" s="157">
        <f t="shared" si="65"/>
        <v>127.38801037752658</v>
      </c>
      <c r="AA66" s="154">
        <v>5098.8379999999997</v>
      </c>
      <c r="AB66" s="154">
        <f>AA66-X66</f>
        <v>2567.5989999999997</v>
      </c>
    </row>
    <row r="67" spans="1:28" s="32" customFormat="1" ht="39" x14ac:dyDescent="0.25">
      <c r="A67" s="142" t="s">
        <v>221</v>
      </c>
      <c r="B67" s="166" t="s">
        <v>210</v>
      </c>
      <c r="C67" s="84"/>
      <c r="D67" s="161">
        <v>105</v>
      </c>
      <c r="E67" s="161">
        <v>105</v>
      </c>
      <c r="F67" s="158">
        <f t="shared" si="29"/>
        <v>74.195999999999998</v>
      </c>
      <c r="G67" s="158">
        <v>0</v>
      </c>
      <c r="H67" s="158">
        <v>0</v>
      </c>
      <c r="I67" s="158">
        <v>26.257000000000001</v>
      </c>
      <c r="J67" s="158">
        <v>5.5039999999999996</v>
      </c>
      <c r="K67" s="158">
        <f>12</f>
        <v>12</v>
      </c>
      <c r="L67" s="158">
        <v>7.8360000000000003</v>
      </c>
      <c r="M67" s="158">
        <v>0</v>
      </c>
      <c r="N67" s="158">
        <f>3.454+9.512</f>
        <v>12.966000000000001</v>
      </c>
      <c r="O67" s="158">
        <v>9.6329999999999991</v>
      </c>
      <c r="P67" s="159">
        <f t="shared" si="67"/>
        <v>70.662857142857135</v>
      </c>
      <c r="Q67" s="97">
        <v>78.769000000000005</v>
      </c>
      <c r="R67" s="98">
        <f t="shared" si="62"/>
        <v>-4.5730000000000075</v>
      </c>
      <c r="S67" s="159">
        <f t="shared" si="63"/>
        <v>94.194416585204834</v>
      </c>
      <c r="T67" s="158">
        <f t="shared" si="54"/>
        <v>78.769000000000005</v>
      </c>
      <c r="U67" s="98">
        <f t="shared" si="45"/>
        <v>-4.5730000000000075</v>
      </c>
      <c r="V67" s="159">
        <f t="shared" si="64"/>
        <v>94.194416585204834</v>
      </c>
      <c r="X67" s="158">
        <v>51.093999999999994</v>
      </c>
      <c r="Y67" s="98">
        <f t="shared" si="46"/>
        <v>23.102000000000004</v>
      </c>
      <c r="Z67" s="159">
        <f t="shared" si="65"/>
        <v>145.21470231338319</v>
      </c>
    </row>
    <row r="68" spans="1:28" s="32" customFormat="1" ht="39" x14ac:dyDescent="0.25">
      <c r="A68" s="142" t="s">
        <v>222</v>
      </c>
      <c r="B68" s="166" t="s">
        <v>211</v>
      </c>
      <c r="C68" s="84"/>
      <c r="D68" s="161">
        <v>1246.7</v>
      </c>
      <c r="E68" s="161">
        <v>1246.7</v>
      </c>
      <c r="F68" s="158">
        <f t="shared" si="29"/>
        <v>730.74699999999996</v>
      </c>
      <c r="G68" s="158">
        <v>0</v>
      </c>
      <c r="H68" s="158">
        <v>57.276000000000003</v>
      </c>
      <c r="I68" s="158">
        <v>61.982999999999997</v>
      </c>
      <c r="J68" s="158">
        <v>122.77</v>
      </c>
      <c r="K68" s="158">
        <f>136.271</f>
        <v>136.27099999999999</v>
      </c>
      <c r="L68" s="158">
        <v>142.262</v>
      </c>
      <c r="M68" s="158">
        <v>0</v>
      </c>
      <c r="N68" s="158">
        <f>97.286+47.175</f>
        <v>144.46100000000001</v>
      </c>
      <c r="O68" s="158">
        <v>65.724000000000004</v>
      </c>
      <c r="P68" s="159">
        <f t="shared" si="67"/>
        <v>58.614502286035133</v>
      </c>
      <c r="Q68" s="97">
        <v>730.755</v>
      </c>
      <c r="R68" s="98">
        <f t="shared" si="62"/>
        <v>-8.0000000000381988E-3</v>
      </c>
      <c r="S68" s="159">
        <f t="shared" si="63"/>
        <v>99.998905241838926</v>
      </c>
      <c r="T68" s="158">
        <f t="shared" si="54"/>
        <v>730.755</v>
      </c>
      <c r="U68" s="98">
        <f t="shared" si="45"/>
        <v>-8.0000000000381988E-3</v>
      </c>
      <c r="V68" s="159">
        <f t="shared" si="64"/>
        <v>99.998905241838926</v>
      </c>
      <c r="X68" s="158">
        <v>729.91899999999998</v>
      </c>
      <c r="Y68" s="98">
        <f t="shared" si="46"/>
        <v>0.82799999999997453</v>
      </c>
      <c r="Z68" s="159">
        <f t="shared" si="65"/>
        <v>100.11343724440658</v>
      </c>
    </row>
    <row r="69" spans="1:28" s="32" customFormat="1" ht="78" x14ac:dyDescent="0.25">
      <c r="A69" s="142" t="s">
        <v>223</v>
      </c>
      <c r="B69" s="166" t="s">
        <v>212</v>
      </c>
      <c r="C69" s="84"/>
      <c r="D69" s="161">
        <v>292.3</v>
      </c>
      <c r="E69" s="161">
        <v>292.3</v>
      </c>
      <c r="F69" s="158">
        <f t="shared" si="29"/>
        <v>292.29999999999995</v>
      </c>
      <c r="G69" s="158">
        <v>0</v>
      </c>
      <c r="H69" s="158">
        <v>0</v>
      </c>
      <c r="I69" s="158">
        <v>146.136</v>
      </c>
      <c r="J69" s="158">
        <v>0</v>
      </c>
      <c r="K69" s="158">
        <v>0</v>
      </c>
      <c r="L69" s="158">
        <v>0</v>
      </c>
      <c r="M69" s="158">
        <v>0</v>
      </c>
      <c r="N69" s="158">
        <v>0</v>
      </c>
      <c r="O69" s="158">
        <v>146.16399999999999</v>
      </c>
      <c r="P69" s="159">
        <f t="shared" si="67"/>
        <v>99.999999999999972</v>
      </c>
      <c r="Q69" s="97">
        <v>292.3</v>
      </c>
      <c r="R69" s="98">
        <f t="shared" si="62"/>
        <v>0</v>
      </c>
      <c r="S69" s="159">
        <f t="shared" si="63"/>
        <v>99.999999999999972</v>
      </c>
      <c r="T69" s="158">
        <f t="shared" si="54"/>
        <v>292.3</v>
      </c>
      <c r="U69" s="98">
        <f t="shared" si="45"/>
        <v>0</v>
      </c>
      <c r="V69" s="159">
        <f t="shared" si="64"/>
        <v>99.999999999999972</v>
      </c>
      <c r="X69" s="158">
        <v>292.29999999999995</v>
      </c>
      <c r="Y69" s="98">
        <f t="shared" si="46"/>
        <v>0</v>
      </c>
      <c r="Z69" s="159">
        <f t="shared" si="65"/>
        <v>100</v>
      </c>
    </row>
    <row r="70" spans="1:28" s="32" customFormat="1" ht="58.5" x14ac:dyDescent="0.25">
      <c r="A70" s="142" t="s">
        <v>224</v>
      </c>
      <c r="B70" s="166" t="s">
        <v>213</v>
      </c>
      <c r="C70" s="84"/>
      <c r="D70" s="161">
        <v>0</v>
      </c>
      <c r="E70" s="161">
        <f>334.42+147.702+147.702+295.404</f>
        <v>925.22800000000007</v>
      </c>
      <c r="F70" s="158">
        <f t="shared" si="29"/>
        <v>925.22800000000007</v>
      </c>
      <c r="G70" s="158">
        <v>0</v>
      </c>
      <c r="H70" s="158">
        <v>0</v>
      </c>
      <c r="I70" s="158">
        <v>231.63900000000001</v>
      </c>
      <c r="J70" s="158">
        <v>102.78100000000001</v>
      </c>
      <c r="K70" s="158">
        <v>147.702</v>
      </c>
      <c r="L70" s="158">
        <v>147.702</v>
      </c>
      <c r="M70" s="158">
        <v>0</v>
      </c>
      <c r="N70" s="158">
        <v>295.404</v>
      </c>
      <c r="O70" s="158">
        <v>0</v>
      </c>
      <c r="P70" s="159">
        <f t="shared" si="67"/>
        <v>100</v>
      </c>
      <c r="Q70" s="97">
        <v>925.22799999999995</v>
      </c>
      <c r="R70" s="98">
        <f t="shared" si="62"/>
        <v>0</v>
      </c>
      <c r="S70" s="159">
        <f t="shared" si="63"/>
        <v>100.00000000000003</v>
      </c>
      <c r="T70" s="158">
        <f t="shared" si="54"/>
        <v>925.22799999999995</v>
      </c>
      <c r="U70" s="98">
        <f t="shared" si="45"/>
        <v>0</v>
      </c>
      <c r="V70" s="159">
        <f t="shared" si="64"/>
        <v>100.00000000000003</v>
      </c>
      <c r="X70" s="158">
        <v>457.92600000000004</v>
      </c>
      <c r="Y70" s="98">
        <f t="shared" si="46"/>
        <v>467.30200000000002</v>
      </c>
      <c r="Z70" s="159">
        <f t="shared" si="65"/>
        <v>202.04749238960008</v>
      </c>
    </row>
    <row r="71" spans="1:28" s="32" customFormat="1" ht="78" x14ac:dyDescent="0.25">
      <c r="A71" s="142" t="s">
        <v>225</v>
      </c>
      <c r="B71" s="166" t="s">
        <v>214</v>
      </c>
      <c r="C71" s="84"/>
      <c r="D71" s="161">
        <v>2000</v>
      </c>
      <c r="E71" s="161">
        <v>2000</v>
      </c>
      <c r="F71" s="158">
        <f>SUM(G71:O71)</f>
        <v>1177.0239999999999</v>
      </c>
      <c r="G71" s="158">
        <v>0</v>
      </c>
      <c r="H71" s="158">
        <v>0</v>
      </c>
      <c r="I71" s="158">
        <v>0</v>
      </c>
      <c r="J71" s="158">
        <v>0</v>
      </c>
      <c r="K71" s="158">
        <v>0</v>
      </c>
      <c r="L71" s="158">
        <v>0</v>
      </c>
      <c r="M71" s="158">
        <v>158.9</v>
      </c>
      <c r="N71" s="158">
        <v>285.38499999999999</v>
      </c>
      <c r="O71" s="158">
        <f>470.8+261.939</f>
        <v>732.73900000000003</v>
      </c>
      <c r="P71" s="159">
        <f t="shared" si="67"/>
        <v>58.851199999999992</v>
      </c>
      <c r="Q71" s="97">
        <v>1460.9</v>
      </c>
      <c r="R71" s="98">
        <f t="shared" si="62"/>
        <v>-283.8760000000002</v>
      </c>
      <c r="S71" s="159">
        <f t="shared" si="63"/>
        <v>80.568416729413357</v>
      </c>
      <c r="T71" s="158">
        <f>Q71</f>
        <v>1460.9</v>
      </c>
      <c r="U71" s="98">
        <f t="shared" si="45"/>
        <v>-283.8760000000002</v>
      </c>
      <c r="V71" s="159">
        <f t="shared" si="64"/>
        <v>80.568416729413357</v>
      </c>
      <c r="X71" s="158">
        <v>0</v>
      </c>
      <c r="Y71" s="98">
        <f t="shared" si="46"/>
        <v>1177.0239999999999</v>
      </c>
      <c r="Z71" s="159"/>
    </row>
    <row r="72" spans="1:28" s="32" customFormat="1" ht="136.5" x14ac:dyDescent="0.25">
      <c r="A72" s="142" t="s">
        <v>226</v>
      </c>
      <c r="B72" s="166" t="s">
        <v>215</v>
      </c>
      <c r="C72" s="84"/>
      <c r="D72" s="161">
        <v>0</v>
      </c>
      <c r="E72" s="161">
        <v>25</v>
      </c>
      <c r="F72" s="158">
        <f>SUM(G72:O72)</f>
        <v>25</v>
      </c>
      <c r="G72" s="158">
        <v>0</v>
      </c>
      <c r="H72" s="158">
        <v>0</v>
      </c>
      <c r="I72" s="158">
        <v>0</v>
      </c>
      <c r="J72" s="158">
        <v>0</v>
      </c>
      <c r="K72" s="158">
        <v>25</v>
      </c>
      <c r="L72" s="158">
        <v>0</v>
      </c>
      <c r="M72" s="158">
        <v>0</v>
      </c>
      <c r="N72" s="158">
        <v>0</v>
      </c>
      <c r="O72" s="158">
        <v>0</v>
      </c>
      <c r="P72" s="159">
        <f t="shared" si="67"/>
        <v>100</v>
      </c>
      <c r="Q72" s="97">
        <v>25</v>
      </c>
      <c r="R72" s="98">
        <f t="shared" si="62"/>
        <v>0</v>
      </c>
      <c r="S72" s="159">
        <f t="shared" si="63"/>
        <v>100</v>
      </c>
      <c r="T72" s="158">
        <f>Q72</f>
        <v>25</v>
      </c>
      <c r="U72" s="98">
        <f t="shared" si="45"/>
        <v>0</v>
      </c>
      <c r="V72" s="159">
        <f t="shared" si="64"/>
        <v>100</v>
      </c>
      <c r="X72" s="158">
        <v>0</v>
      </c>
      <c r="Y72" s="98">
        <f t="shared" si="46"/>
        <v>25</v>
      </c>
      <c r="Z72" s="159"/>
    </row>
    <row r="73" spans="1:28" s="32" customFormat="1" ht="58.5" x14ac:dyDescent="0.25">
      <c r="A73" s="142" t="s">
        <v>227</v>
      </c>
      <c r="B73" s="166" t="s">
        <v>216</v>
      </c>
      <c r="C73" s="84"/>
      <c r="D73" s="161">
        <v>0</v>
      </c>
      <c r="E73" s="161">
        <v>0</v>
      </c>
      <c r="F73" s="158">
        <f>SUM(G73:O73)</f>
        <v>0</v>
      </c>
      <c r="G73" s="158">
        <v>0</v>
      </c>
      <c r="H73" s="158">
        <v>0</v>
      </c>
      <c r="I73" s="158">
        <v>0</v>
      </c>
      <c r="J73" s="158">
        <v>0</v>
      </c>
      <c r="K73" s="158">
        <v>0</v>
      </c>
      <c r="L73" s="158">
        <v>0</v>
      </c>
      <c r="M73" s="158">
        <v>0</v>
      </c>
      <c r="N73" s="158">
        <v>0</v>
      </c>
      <c r="O73" s="158">
        <v>0</v>
      </c>
      <c r="P73" s="159"/>
      <c r="Q73" s="97">
        <v>0</v>
      </c>
      <c r="R73" s="98"/>
      <c r="S73" s="159"/>
      <c r="T73" s="158">
        <f>Q73</f>
        <v>0</v>
      </c>
      <c r="U73" s="98"/>
      <c r="V73" s="159"/>
      <c r="X73" s="158">
        <v>1000</v>
      </c>
      <c r="Y73" s="98">
        <f t="shared" si="46"/>
        <v>-1000</v>
      </c>
      <c r="Z73" s="159"/>
    </row>
    <row r="74" spans="1:28" s="8" customFormat="1" ht="23.25" x14ac:dyDescent="0.25">
      <c r="A74" s="180"/>
      <c r="B74" s="105"/>
      <c r="C74" s="140"/>
      <c r="D74" s="160"/>
      <c r="E74" s="160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7"/>
      <c r="Q74" s="160"/>
      <c r="R74" s="156"/>
      <c r="S74" s="157"/>
      <c r="T74" s="160"/>
      <c r="U74" s="156"/>
      <c r="V74" s="157"/>
      <c r="X74" s="154"/>
      <c r="Y74" s="98"/>
      <c r="Z74" s="157"/>
    </row>
    <row r="75" spans="1:28" s="42" customFormat="1" ht="39" customHeight="1" x14ac:dyDescent="0.3">
      <c r="A75" s="39"/>
      <c r="B75" s="43" t="s">
        <v>28</v>
      </c>
      <c r="C75" s="182"/>
      <c r="D75" s="146">
        <f>D78+D77</f>
        <v>744122.80200000003</v>
      </c>
      <c r="E75" s="146">
        <f>E78+E77</f>
        <v>786141.86400000006</v>
      </c>
      <c r="F75" s="146">
        <f t="shared" si="29"/>
        <v>588055.69299999997</v>
      </c>
      <c r="G75" s="146">
        <f t="shared" ref="G75:Q75" si="68">G78+G77</f>
        <v>46907.102000000006</v>
      </c>
      <c r="H75" s="146">
        <f t="shared" si="68"/>
        <v>54592.909</v>
      </c>
      <c r="I75" s="146">
        <f t="shared" si="68"/>
        <v>57204.304000000004</v>
      </c>
      <c r="J75" s="146">
        <f t="shared" si="68"/>
        <v>57797.366999999998</v>
      </c>
      <c r="K75" s="146">
        <f t="shared" ref="K75:N75" si="69">K78+K77</f>
        <v>79358.313000000009</v>
      </c>
      <c r="L75" s="146">
        <f t="shared" si="69"/>
        <v>145334.226</v>
      </c>
      <c r="M75" s="146">
        <f t="shared" si="69"/>
        <v>28903.632999999998</v>
      </c>
      <c r="N75" s="146">
        <f t="shared" si="69"/>
        <v>40456.436000000002</v>
      </c>
      <c r="O75" s="146">
        <f t="shared" si="68"/>
        <v>77501.403000000006</v>
      </c>
      <c r="P75" s="72">
        <f>F75/E75*100</f>
        <v>74.802744889820545</v>
      </c>
      <c r="Q75" s="146">
        <f t="shared" si="68"/>
        <v>588344.15</v>
      </c>
      <c r="R75" s="71">
        <f>F75-Q75</f>
        <v>-288.45700000005309</v>
      </c>
      <c r="S75" s="72">
        <f>F75/Q75*100</f>
        <v>99.950971382990716</v>
      </c>
      <c r="T75" s="146">
        <f>T78+T77</f>
        <v>570117.01199999999</v>
      </c>
      <c r="U75" s="71">
        <f>F75-T75</f>
        <v>17938.680999999982</v>
      </c>
      <c r="V75" s="72">
        <f>F75/T75*100</f>
        <v>103.14649109260398</v>
      </c>
      <c r="X75" s="146">
        <f>X78+X77</f>
        <v>555429.87800000003</v>
      </c>
      <c r="Y75" s="71">
        <f>F75-X75</f>
        <v>32625.814999999944</v>
      </c>
      <c r="Z75" s="72">
        <f>F75/X75*100</f>
        <v>105.8739755083899</v>
      </c>
    </row>
    <row r="76" spans="1:28" s="11" customFormat="1" ht="23.25" x14ac:dyDescent="0.25">
      <c r="A76" s="10"/>
      <c r="B76" s="136" t="s">
        <v>106</v>
      </c>
      <c r="C76" s="9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72"/>
      <c r="Q76" s="162"/>
      <c r="R76" s="156"/>
      <c r="S76" s="157"/>
      <c r="T76" s="162"/>
      <c r="U76" s="71"/>
      <c r="V76" s="72"/>
      <c r="X76" s="162"/>
      <c r="Y76" s="71"/>
      <c r="Z76" s="72"/>
    </row>
    <row r="77" spans="1:28" s="11" customFormat="1" ht="22.5" x14ac:dyDescent="0.25">
      <c r="A77" s="10"/>
      <c r="B77" s="178" t="s">
        <v>122</v>
      </c>
      <c r="C77" s="19"/>
      <c r="D77" s="146">
        <f>D52</f>
        <v>0</v>
      </c>
      <c r="E77" s="146">
        <f>E52</f>
        <v>0</v>
      </c>
      <c r="F77" s="146">
        <f t="shared" si="29"/>
        <v>0</v>
      </c>
      <c r="G77" s="146">
        <f t="shared" ref="G77:Q77" si="70">G52</f>
        <v>0</v>
      </c>
      <c r="H77" s="146">
        <f t="shared" si="70"/>
        <v>0</v>
      </c>
      <c r="I77" s="146">
        <f t="shared" si="70"/>
        <v>0</v>
      </c>
      <c r="J77" s="146">
        <f t="shared" si="70"/>
        <v>0</v>
      </c>
      <c r="K77" s="146">
        <f t="shared" si="70"/>
        <v>0</v>
      </c>
      <c r="L77" s="146">
        <f t="shared" si="70"/>
        <v>0</v>
      </c>
      <c r="M77" s="146">
        <f t="shared" si="70"/>
        <v>0</v>
      </c>
      <c r="N77" s="146">
        <f t="shared" si="70"/>
        <v>0</v>
      </c>
      <c r="O77" s="146">
        <f t="shared" si="70"/>
        <v>0</v>
      </c>
      <c r="P77" s="72"/>
      <c r="Q77" s="146">
        <f t="shared" si="70"/>
        <v>0</v>
      </c>
      <c r="R77" s="71">
        <f>F77-Q77</f>
        <v>0</v>
      </c>
      <c r="S77" s="72"/>
      <c r="T77" s="146">
        <f>T52</f>
        <v>0</v>
      </c>
      <c r="U77" s="71">
        <f>F77-T77</f>
        <v>0</v>
      </c>
      <c r="V77" s="72"/>
      <c r="X77" s="146">
        <f>X52</f>
        <v>12210.8</v>
      </c>
      <c r="Y77" s="71">
        <f>F77-X77</f>
        <v>-12210.8</v>
      </c>
      <c r="Z77" s="72">
        <f>F77/X77*100</f>
        <v>0</v>
      </c>
    </row>
    <row r="78" spans="1:28" s="11" customFormat="1" ht="30" customHeight="1" x14ac:dyDescent="0.25">
      <c r="A78" s="10"/>
      <c r="B78" s="178" t="s">
        <v>76</v>
      </c>
      <c r="C78" s="19"/>
      <c r="D78" s="146">
        <f>D79+D80</f>
        <v>744122.80200000003</v>
      </c>
      <c r="E78" s="146">
        <f>E79+E80</f>
        <v>786141.86400000006</v>
      </c>
      <c r="F78" s="146">
        <f t="shared" si="29"/>
        <v>588055.69299999997</v>
      </c>
      <c r="G78" s="146">
        <f t="shared" ref="G78:Q78" si="71">G79+G80</f>
        <v>46907.102000000006</v>
      </c>
      <c r="H78" s="146">
        <f t="shared" si="71"/>
        <v>54592.909</v>
      </c>
      <c r="I78" s="146">
        <f t="shared" si="71"/>
        <v>57204.304000000004</v>
      </c>
      <c r="J78" s="146">
        <f t="shared" si="71"/>
        <v>57797.366999999998</v>
      </c>
      <c r="K78" s="146">
        <f t="shared" ref="K78:N78" si="72">K79+K80</f>
        <v>79358.313000000009</v>
      </c>
      <c r="L78" s="146">
        <f t="shared" si="72"/>
        <v>145334.226</v>
      </c>
      <c r="M78" s="146">
        <f t="shared" si="72"/>
        <v>28903.632999999998</v>
      </c>
      <c r="N78" s="146">
        <f t="shared" si="72"/>
        <v>40456.436000000002</v>
      </c>
      <c r="O78" s="146">
        <f t="shared" si="71"/>
        <v>77501.403000000006</v>
      </c>
      <c r="P78" s="72">
        <f>F78/E78*100</f>
        <v>74.802744889820545</v>
      </c>
      <c r="Q78" s="146">
        <f t="shared" si="71"/>
        <v>588344.15</v>
      </c>
      <c r="R78" s="71">
        <f>F78-Q78</f>
        <v>-288.45700000005309</v>
      </c>
      <c r="S78" s="72">
        <f>F78/Q78*100</f>
        <v>99.950971382990716</v>
      </c>
      <c r="T78" s="146">
        <f>T79+T80</f>
        <v>570117.01199999999</v>
      </c>
      <c r="U78" s="71">
        <f>F78-T78</f>
        <v>17938.680999999982</v>
      </c>
      <c r="V78" s="72">
        <f>F78/T78*100</f>
        <v>103.14649109260398</v>
      </c>
      <c r="X78" s="146">
        <f t="shared" ref="X78" si="73">X79+X80</f>
        <v>543219.07799999998</v>
      </c>
      <c r="Y78" s="71">
        <f>F78-X78</f>
        <v>44836.614999999991</v>
      </c>
      <c r="Z78" s="72">
        <f>F78/X78*100</f>
        <v>108.25387340317234</v>
      </c>
    </row>
    <row r="79" spans="1:28" s="6" customFormat="1" ht="36" customHeight="1" x14ac:dyDescent="0.25">
      <c r="A79" s="12"/>
      <c r="B79" s="15" t="s">
        <v>111</v>
      </c>
      <c r="C79" s="15"/>
      <c r="D79" s="161">
        <f>D49+D50</f>
        <v>717803.4</v>
      </c>
      <c r="E79" s="161">
        <f>E49+E50+E51+E48</f>
        <v>730932.20000000007</v>
      </c>
      <c r="F79" s="161">
        <f t="shared" si="29"/>
        <v>538902.00000000012</v>
      </c>
      <c r="G79" s="161">
        <f t="shared" ref="G79:N79" si="74">G49+G50+G51</f>
        <v>44804.3</v>
      </c>
      <c r="H79" s="161">
        <f t="shared" si="74"/>
        <v>52312.800000000003</v>
      </c>
      <c r="I79" s="161">
        <f t="shared" si="74"/>
        <v>54480.800000000003</v>
      </c>
      <c r="J79" s="161">
        <f t="shared" si="74"/>
        <v>55203.4</v>
      </c>
      <c r="K79" s="161">
        <f t="shared" si="74"/>
        <v>74617.8</v>
      </c>
      <c r="L79" s="161">
        <f t="shared" si="74"/>
        <v>139119.6</v>
      </c>
      <c r="M79" s="161">
        <f t="shared" si="74"/>
        <v>26610.1</v>
      </c>
      <c r="N79" s="161">
        <f t="shared" si="74"/>
        <v>30223.4</v>
      </c>
      <c r="O79" s="161">
        <f>O49+O50+O51+O48</f>
        <v>61529.8</v>
      </c>
      <c r="P79" s="159">
        <f>F79/E79*100</f>
        <v>73.728042081057595</v>
      </c>
      <c r="Q79" s="161">
        <f>Q49+Q50+Q51+Q48</f>
        <v>538902</v>
      </c>
      <c r="R79" s="98">
        <f>F79-Q79</f>
        <v>0</v>
      </c>
      <c r="S79" s="159">
        <f>F79/Q79*100</f>
        <v>100.00000000000003</v>
      </c>
      <c r="T79" s="161">
        <f>T49+T50+T51</f>
        <v>538119</v>
      </c>
      <c r="U79" s="98">
        <f>F79-T79</f>
        <v>783.00000000011642</v>
      </c>
      <c r="V79" s="159">
        <f>F79/T79*100</f>
        <v>100.14550684885688</v>
      </c>
      <c r="X79" s="161">
        <f>X49+X50</f>
        <v>492552.89999999997</v>
      </c>
      <c r="Y79" s="98">
        <f>F79-X79</f>
        <v>46349.100000000151</v>
      </c>
      <c r="Z79" s="159">
        <f>F79/X79*100</f>
        <v>109.40997403527624</v>
      </c>
    </row>
    <row r="80" spans="1:28" s="6" customFormat="1" ht="36" customHeight="1" x14ac:dyDescent="0.25">
      <c r="A80" s="12"/>
      <c r="B80" s="137" t="s">
        <v>110</v>
      </c>
      <c r="C80" s="15"/>
      <c r="D80" s="161">
        <f>D56+D59+D66+D57+D64</f>
        <v>26319.402000000002</v>
      </c>
      <c r="E80" s="161">
        <f>E56+E59+E66+E57+E64+E58+E53+E54+E55</f>
        <v>55209.663999999997</v>
      </c>
      <c r="F80" s="161">
        <f t="shared" ref="F80:N80" si="75">F56+F59+F66+F57+F64+F58</f>
        <v>41908.451999999997</v>
      </c>
      <c r="G80" s="161">
        <f t="shared" si="75"/>
        <v>2102.8020000000001</v>
      </c>
      <c r="H80" s="161">
        <f t="shared" si="75"/>
        <v>2280.1089999999999</v>
      </c>
      <c r="I80" s="161">
        <f t="shared" si="75"/>
        <v>2723.5039999999999</v>
      </c>
      <c r="J80" s="161">
        <f t="shared" si="75"/>
        <v>2593.9670000000001</v>
      </c>
      <c r="K80" s="161">
        <f t="shared" si="75"/>
        <v>4740.5129999999999</v>
      </c>
      <c r="L80" s="161">
        <f t="shared" si="75"/>
        <v>6214.6260000000002</v>
      </c>
      <c r="M80" s="161">
        <f t="shared" si="75"/>
        <v>2293.5329999999999</v>
      </c>
      <c r="N80" s="161">
        <f t="shared" si="75"/>
        <v>10233.036</v>
      </c>
      <c r="O80" s="161">
        <f>O56+O59+O66+O57+O64+O58+O53+O54+O55</f>
        <v>15971.602999999999</v>
      </c>
      <c r="P80" s="159">
        <f>F80/E80*100</f>
        <v>75.90781932670339</v>
      </c>
      <c r="Q80" s="161">
        <f>Q56+Q59+Q66+Q57+Q64+Q58+Q53+Q54+Q55</f>
        <v>49442.15</v>
      </c>
      <c r="R80" s="98">
        <f>F80-Q80</f>
        <v>-7533.698000000004</v>
      </c>
      <c r="S80" s="159">
        <f>F80/Q80*100</f>
        <v>84.76260033190303</v>
      </c>
      <c r="T80" s="161">
        <f>T56+T59+T66+T57+T64</f>
        <v>31998.011999999999</v>
      </c>
      <c r="U80" s="98">
        <f>F80-T80</f>
        <v>9910.4399999999987</v>
      </c>
      <c r="V80" s="159">
        <f>F80/T80*100</f>
        <v>130.97204913855273</v>
      </c>
      <c r="X80" s="161">
        <f>X56+X59+X66+X57+X64+X62+X58+X53+X54+X55+X63+X65</f>
        <v>50666.178000000007</v>
      </c>
      <c r="Y80" s="98">
        <f>F80-X80</f>
        <v>-8757.7260000000097</v>
      </c>
      <c r="Z80" s="159">
        <f>F80/X80*100</f>
        <v>82.714847762939598</v>
      </c>
    </row>
    <row r="81" spans="1:31" s="6" customFormat="1" ht="23.25" x14ac:dyDescent="0.25">
      <c r="A81" s="12"/>
      <c r="B81" s="34"/>
      <c r="C81" s="15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59"/>
      <c r="Q81" s="161"/>
      <c r="R81" s="98"/>
      <c r="S81" s="159"/>
      <c r="T81" s="161"/>
      <c r="U81" s="98"/>
      <c r="V81" s="159"/>
      <c r="X81" s="161"/>
      <c r="Y81" s="98"/>
      <c r="Z81" s="159"/>
    </row>
    <row r="82" spans="1:31" s="116" customFormat="1" ht="23.25" x14ac:dyDescent="0.3">
      <c r="A82" s="109"/>
      <c r="B82" s="110" t="s">
        <v>27</v>
      </c>
      <c r="C82" s="111"/>
      <c r="D82" s="112">
        <f>D75+D47</f>
        <v>4495744.1909999996</v>
      </c>
      <c r="E82" s="112">
        <f>E75+E47</f>
        <v>4537763.2529999996</v>
      </c>
      <c r="F82" s="112">
        <f t="shared" si="29"/>
        <v>3224976.6439999994</v>
      </c>
      <c r="G82" s="112">
        <f t="shared" ref="G82:Q82" si="76">G75+G47</f>
        <v>284202.34499999997</v>
      </c>
      <c r="H82" s="112">
        <f t="shared" si="76"/>
        <v>359907.94100000005</v>
      </c>
      <c r="I82" s="112">
        <f t="shared" si="76"/>
        <v>333994.50400000002</v>
      </c>
      <c r="J82" s="112">
        <f t="shared" si="76"/>
        <v>368343.10199999996</v>
      </c>
      <c r="K82" s="112">
        <f t="shared" si="76"/>
        <v>387851.82199999999</v>
      </c>
      <c r="L82" s="112">
        <f t="shared" si="76"/>
        <v>439814.652</v>
      </c>
      <c r="M82" s="112">
        <f t="shared" si="76"/>
        <v>352295.92200000002</v>
      </c>
      <c r="N82" s="112">
        <f t="shared" si="76"/>
        <v>350748.72600000002</v>
      </c>
      <c r="O82" s="112">
        <f t="shared" si="76"/>
        <v>347817.62999999995</v>
      </c>
      <c r="P82" s="114">
        <f>F82/E82*100</f>
        <v>71.069742165766527</v>
      </c>
      <c r="Q82" s="112">
        <f t="shared" si="76"/>
        <v>3067415.9089999995</v>
      </c>
      <c r="R82" s="113">
        <f>F82-Q82</f>
        <v>157560.73499999987</v>
      </c>
      <c r="S82" s="114">
        <f>F82/Q82*100</f>
        <v>105.13659509092675</v>
      </c>
      <c r="T82" s="112">
        <f>T75+T47</f>
        <v>3383833.0537499995</v>
      </c>
      <c r="U82" s="113">
        <f>F82-T82</f>
        <v>-158856.40975000011</v>
      </c>
      <c r="V82" s="114">
        <f>F82/T82*100</f>
        <v>95.305430048508043</v>
      </c>
      <c r="X82" s="112">
        <f>X75+X47</f>
        <v>2845196.2389999996</v>
      </c>
      <c r="Y82" s="113">
        <f>F82-X82</f>
        <v>379780.4049999998</v>
      </c>
      <c r="Z82" s="114">
        <f>F82/X82*100</f>
        <v>113.34812691631706</v>
      </c>
      <c r="AA82" s="112">
        <v>2845196.2390000001</v>
      </c>
      <c r="AB82" s="115">
        <f>AA82-X82</f>
        <v>0</v>
      </c>
      <c r="AE82" s="115">
        <f>2708373.649-Q82</f>
        <v>-359042.25999999931</v>
      </c>
    </row>
    <row r="83" spans="1:31" s="8" customFormat="1" ht="20.25" customHeight="1" x14ac:dyDescent="0.25">
      <c r="A83" s="205" t="s">
        <v>9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7"/>
    </row>
    <row r="84" spans="1:31" s="45" customFormat="1" ht="38.25" customHeight="1" x14ac:dyDescent="0.3">
      <c r="A84" s="180">
        <v>1</v>
      </c>
      <c r="B84" s="147" t="s">
        <v>12</v>
      </c>
      <c r="C84" s="140" t="s">
        <v>21</v>
      </c>
      <c r="D84" s="160">
        <f>D85+D86</f>
        <v>70446.198000000004</v>
      </c>
      <c r="E84" s="160">
        <f t="shared" ref="E84:E131" si="77">D84</f>
        <v>70446.198000000004</v>
      </c>
      <c r="F84" s="154">
        <f t="shared" ref="F84:F114" si="78">SUM(G84:O84)</f>
        <v>71341.068000000014</v>
      </c>
      <c r="G84" s="154">
        <f t="shared" ref="G84:Q84" si="79">G85+G86</f>
        <v>3860.3049999999998</v>
      </c>
      <c r="H84" s="154">
        <f t="shared" ref="H84:N84" si="80">H85+H86</f>
        <v>8760.2960000000003</v>
      </c>
      <c r="I84" s="154">
        <f t="shared" si="80"/>
        <v>5848.7789999999995</v>
      </c>
      <c r="J84" s="154">
        <f t="shared" si="80"/>
        <v>5691.4560000000001</v>
      </c>
      <c r="K84" s="154">
        <f t="shared" si="80"/>
        <v>5209.8320000000003</v>
      </c>
      <c r="L84" s="154">
        <f t="shared" si="80"/>
        <v>4482.402</v>
      </c>
      <c r="M84" s="154">
        <f t="shared" si="80"/>
        <v>2835.93</v>
      </c>
      <c r="N84" s="154">
        <f t="shared" si="80"/>
        <v>5127.2709999999997</v>
      </c>
      <c r="O84" s="154">
        <f t="shared" si="79"/>
        <v>29524.797000000002</v>
      </c>
      <c r="P84" s="157">
        <f>F84/E84*100</f>
        <v>101.27028856830572</v>
      </c>
      <c r="Q84" s="155">
        <f t="shared" si="79"/>
        <v>52834.648999999998</v>
      </c>
      <c r="R84" s="156">
        <f t="shared" ref="R84:R98" si="81">F84-Q84</f>
        <v>18506.419000000016</v>
      </c>
      <c r="S84" s="157">
        <f>F84/Q84*100</f>
        <v>135.0270501465809</v>
      </c>
      <c r="T84" s="156">
        <f t="shared" ref="T84" si="82">T85+T86</f>
        <v>52834.648500000003</v>
      </c>
      <c r="U84" s="156">
        <f t="shared" ref="U84:U98" si="83">F84-T84</f>
        <v>18506.419500000011</v>
      </c>
      <c r="V84" s="157">
        <f>F84/T84*100</f>
        <v>135.02705142440763</v>
      </c>
      <c r="X84" s="154">
        <f t="shared" ref="X84" si="84">X85+X86</f>
        <v>49401.927000000003</v>
      </c>
      <c r="Y84" s="156">
        <f t="shared" ref="Y84:Y98" si="85">F84-X84</f>
        <v>21939.141000000011</v>
      </c>
      <c r="Z84" s="157">
        <f t="shared" ref="Z84:Z95" si="86">F84/X84*100</f>
        <v>144.40948426971281</v>
      </c>
    </row>
    <row r="85" spans="1:31" s="48" customFormat="1" ht="39" x14ac:dyDescent="0.3">
      <c r="A85" s="142" t="s">
        <v>127</v>
      </c>
      <c r="B85" s="83" t="s">
        <v>123</v>
      </c>
      <c r="C85" s="15" t="s">
        <v>124</v>
      </c>
      <c r="D85" s="161">
        <v>70446.198000000004</v>
      </c>
      <c r="E85" s="161">
        <v>70446.198000000004</v>
      </c>
      <c r="F85" s="158">
        <f t="shared" si="78"/>
        <v>40494.983000000007</v>
      </c>
      <c r="G85" s="158">
        <v>3552.8009999999999</v>
      </c>
      <c r="H85" s="158">
        <v>6339.2150000000001</v>
      </c>
      <c r="I85" s="158">
        <v>5401.0349999999999</v>
      </c>
      <c r="J85" s="158">
        <v>4981.4170000000004</v>
      </c>
      <c r="K85" s="158">
        <v>4721.1689999999999</v>
      </c>
      <c r="L85" s="158">
        <v>2852.4169999999999</v>
      </c>
      <c r="M85" s="158">
        <v>2398.2049999999999</v>
      </c>
      <c r="N85" s="158">
        <v>3722.864</v>
      </c>
      <c r="O85" s="158">
        <v>6525.86</v>
      </c>
      <c r="P85" s="159">
        <f>F85/E85*100</f>
        <v>57.48356071678986</v>
      </c>
      <c r="Q85" s="97">
        <v>52834.648999999998</v>
      </c>
      <c r="R85" s="98">
        <f t="shared" si="81"/>
        <v>-12339.66599999999</v>
      </c>
      <c r="S85" s="159">
        <f>F85/Q85*100</f>
        <v>76.644746897059932</v>
      </c>
      <c r="T85" s="98">
        <f>E85/12*9</f>
        <v>52834.648500000003</v>
      </c>
      <c r="U85" s="98">
        <f t="shared" si="83"/>
        <v>-12339.665499999996</v>
      </c>
      <c r="V85" s="159">
        <f>F85/T85*100</f>
        <v>76.644747622386475</v>
      </c>
      <c r="X85" s="158">
        <v>32996.798000000003</v>
      </c>
      <c r="Y85" s="98">
        <f t="shared" si="85"/>
        <v>7498.1850000000049</v>
      </c>
      <c r="Z85" s="159">
        <f t="shared" si="86"/>
        <v>122.72397764170937</v>
      </c>
    </row>
    <row r="86" spans="1:31" s="48" customFormat="1" ht="23.25" x14ac:dyDescent="0.3">
      <c r="A86" s="142" t="s">
        <v>128</v>
      </c>
      <c r="B86" s="83" t="s">
        <v>125</v>
      </c>
      <c r="C86" s="15" t="s">
        <v>126</v>
      </c>
      <c r="D86" s="161">
        <v>0</v>
      </c>
      <c r="E86" s="161">
        <v>0</v>
      </c>
      <c r="F86" s="158">
        <f t="shared" si="78"/>
        <v>30846.085000000003</v>
      </c>
      <c r="G86" s="158">
        <v>307.50400000000002</v>
      </c>
      <c r="H86" s="158">
        <v>2421.0810000000001</v>
      </c>
      <c r="I86" s="158">
        <v>447.74400000000003</v>
      </c>
      <c r="J86" s="158">
        <v>710.03899999999999</v>
      </c>
      <c r="K86" s="158">
        <v>488.66300000000001</v>
      </c>
      <c r="L86" s="158">
        <v>1629.9849999999999</v>
      </c>
      <c r="M86" s="158">
        <v>437.72500000000002</v>
      </c>
      <c r="N86" s="158">
        <v>1404.4069999999999</v>
      </c>
      <c r="O86" s="158">
        <v>22998.937000000002</v>
      </c>
      <c r="P86" s="159"/>
      <c r="Q86" s="97">
        <v>0</v>
      </c>
      <c r="R86" s="98">
        <f t="shared" si="81"/>
        <v>30846.085000000003</v>
      </c>
      <c r="S86" s="159"/>
      <c r="T86" s="98"/>
      <c r="U86" s="98">
        <f t="shared" si="83"/>
        <v>30846.085000000003</v>
      </c>
      <c r="V86" s="159"/>
      <c r="X86" s="158">
        <v>16405.129000000001</v>
      </c>
      <c r="Y86" s="98">
        <f t="shared" si="85"/>
        <v>14440.956000000002</v>
      </c>
      <c r="Z86" s="159">
        <f t="shared" si="86"/>
        <v>188.02707982363322</v>
      </c>
    </row>
    <row r="87" spans="1:31" s="45" customFormat="1" ht="34.5" customHeight="1" x14ac:dyDescent="0.3">
      <c r="A87" s="180">
        <v>2</v>
      </c>
      <c r="B87" s="96" t="s">
        <v>31</v>
      </c>
      <c r="C87" s="140" t="s">
        <v>30</v>
      </c>
      <c r="D87" s="160">
        <v>2267.6</v>
      </c>
      <c r="E87" s="160">
        <v>2267.6</v>
      </c>
      <c r="F87" s="154">
        <f t="shared" si="78"/>
        <v>1432.0889999999999</v>
      </c>
      <c r="G87" s="154">
        <v>68.402000000000001</v>
      </c>
      <c r="H87" s="154">
        <v>214.45699999999999</v>
      </c>
      <c r="I87" s="154">
        <v>85.447999999999993</v>
      </c>
      <c r="J87" s="154">
        <v>196.76599999999999</v>
      </c>
      <c r="K87" s="154">
        <v>289.00900000000001</v>
      </c>
      <c r="L87" s="154">
        <v>97.941000000000003</v>
      </c>
      <c r="M87" s="154">
        <v>108.371</v>
      </c>
      <c r="N87" s="154">
        <v>285.29300000000001</v>
      </c>
      <c r="O87" s="154">
        <v>86.402000000000001</v>
      </c>
      <c r="P87" s="157">
        <f t="shared" ref="P87:P95" si="87">F87/E87*100</f>
        <v>63.154392309049214</v>
      </c>
      <c r="Q87" s="155">
        <v>1344.54</v>
      </c>
      <c r="R87" s="156">
        <f t="shared" si="81"/>
        <v>87.548999999999978</v>
      </c>
      <c r="S87" s="157">
        <f t="shared" ref="S87:S95" si="88">F87/Q87*100</f>
        <v>106.51144629389977</v>
      </c>
      <c r="T87" s="156">
        <f t="shared" ref="T87:T90" si="89">E87/12*9</f>
        <v>1700.7</v>
      </c>
      <c r="U87" s="156">
        <f t="shared" si="83"/>
        <v>-268.6110000000001</v>
      </c>
      <c r="V87" s="157">
        <f t="shared" ref="V87:V95" si="90">F87/T87*100</f>
        <v>84.205856412065614</v>
      </c>
      <c r="X87" s="154">
        <v>673.93400000000008</v>
      </c>
      <c r="Y87" s="156">
        <f t="shared" si="85"/>
        <v>758.15499999999986</v>
      </c>
      <c r="Z87" s="157">
        <f t="shared" si="86"/>
        <v>212.49692106348687</v>
      </c>
    </row>
    <row r="88" spans="1:31" s="45" customFormat="1" ht="39" x14ac:dyDescent="0.3">
      <c r="A88" s="180">
        <f t="shared" ref="A88:A91" si="91">A87+1</f>
        <v>3</v>
      </c>
      <c r="B88" s="96" t="s">
        <v>90</v>
      </c>
      <c r="C88" s="140">
        <v>21110000</v>
      </c>
      <c r="D88" s="160">
        <v>160</v>
      </c>
      <c r="E88" s="160">
        <v>160</v>
      </c>
      <c r="F88" s="154">
        <f t="shared" si="78"/>
        <v>79.931999999999988</v>
      </c>
      <c r="G88" s="154">
        <v>0</v>
      </c>
      <c r="H88" s="154">
        <v>0</v>
      </c>
      <c r="I88" s="154">
        <v>13.731999999999999</v>
      </c>
      <c r="J88" s="154">
        <v>0</v>
      </c>
      <c r="K88" s="154">
        <v>0</v>
      </c>
      <c r="L88" s="154">
        <v>26.204999999999998</v>
      </c>
      <c r="M88" s="154">
        <v>39.994999999999997</v>
      </c>
      <c r="N88" s="154">
        <v>0</v>
      </c>
      <c r="O88" s="154">
        <v>0</v>
      </c>
      <c r="P88" s="157">
        <f t="shared" si="87"/>
        <v>49.957499999999996</v>
      </c>
      <c r="Q88" s="155">
        <v>79.5</v>
      </c>
      <c r="R88" s="156">
        <f t="shared" si="81"/>
        <v>0.43199999999998795</v>
      </c>
      <c r="S88" s="157">
        <f t="shared" si="88"/>
        <v>100.54339622641508</v>
      </c>
      <c r="T88" s="156">
        <f t="shared" si="89"/>
        <v>120</v>
      </c>
      <c r="U88" s="156">
        <f t="shared" si="83"/>
        <v>-40.068000000000012</v>
      </c>
      <c r="V88" s="157">
        <f t="shared" si="90"/>
        <v>66.609999999999985</v>
      </c>
      <c r="X88" s="154">
        <v>10.750999999999999</v>
      </c>
      <c r="Y88" s="156">
        <f t="shared" si="85"/>
        <v>69.180999999999983</v>
      </c>
      <c r="Z88" s="157">
        <f t="shared" si="86"/>
        <v>743.48432703934509</v>
      </c>
    </row>
    <row r="89" spans="1:31" s="45" customFormat="1" ht="58.5" x14ac:dyDescent="0.3">
      <c r="A89" s="180">
        <f t="shared" si="91"/>
        <v>4</v>
      </c>
      <c r="B89" s="147" t="s">
        <v>26</v>
      </c>
      <c r="C89" s="140" t="s">
        <v>25</v>
      </c>
      <c r="D89" s="160">
        <v>15.7</v>
      </c>
      <c r="E89" s="160">
        <v>140.69999999999999</v>
      </c>
      <c r="F89" s="154">
        <f t="shared" si="78"/>
        <v>162.59199999999996</v>
      </c>
      <c r="G89" s="154">
        <v>36.722000000000001</v>
      </c>
      <c r="H89" s="154">
        <v>1.931</v>
      </c>
      <c r="I89" s="154">
        <v>93.322999999999993</v>
      </c>
      <c r="J89" s="154">
        <v>2.0529999999999999</v>
      </c>
      <c r="K89" s="154">
        <v>7.9269999999999996</v>
      </c>
      <c r="L89" s="154">
        <v>5.2</v>
      </c>
      <c r="M89" s="154">
        <v>0.2</v>
      </c>
      <c r="N89" s="154">
        <v>0.81299999999999994</v>
      </c>
      <c r="O89" s="154">
        <v>14.423</v>
      </c>
      <c r="P89" s="157">
        <f t="shared" si="87"/>
        <v>115.55934612651029</v>
      </c>
      <c r="Q89" s="155">
        <v>152.69999999999999</v>
      </c>
      <c r="R89" s="156">
        <f t="shared" si="81"/>
        <v>9.8919999999999675</v>
      </c>
      <c r="S89" s="157">
        <f t="shared" si="88"/>
        <v>106.47806155861164</v>
      </c>
      <c r="T89" s="156">
        <f t="shared" si="89"/>
        <v>105.52499999999999</v>
      </c>
      <c r="U89" s="156">
        <f t="shared" si="83"/>
        <v>57.066999999999965</v>
      </c>
      <c r="V89" s="157">
        <f t="shared" si="90"/>
        <v>154.07912816868037</v>
      </c>
      <c r="X89" s="154">
        <v>12.177999999999999</v>
      </c>
      <c r="Y89" s="156">
        <f t="shared" si="85"/>
        <v>150.41399999999996</v>
      </c>
      <c r="Z89" s="157">
        <f t="shared" si="86"/>
        <v>1335.1289210050909</v>
      </c>
    </row>
    <row r="90" spans="1:31" s="45" customFormat="1" ht="58.5" x14ac:dyDescent="0.3">
      <c r="A90" s="180">
        <f t="shared" si="91"/>
        <v>5</v>
      </c>
      <c r="B90" s="147" t="s">
        <v>69</v>
      </c>
      <c r="C90" s="140" t="s">
        <v>70</v>
      </c>
      <c r="D90" s="160">
        <v>0.4</v>
      </c>
      <c r="E90" s="160">
        <v>0.4</v>
      </c>
      <c r="F90" s="154">
        <f t="shared" si="78"/>
        <v>0.17400000000000004</v>
      </c>
      <c r="G90" s="154">
        <v>3.5000000000000003E-2</v>
      </c>
      <c r="H90" s="154">
        <v>2.4E-2</v>
      </c>
      <c r="I90" s="154">
        <v>1.7000000000000001E-2</v>
      </c>
      <c r="J90" s="154">
        <v>1.4E-2</v>
      </c>
      <c r="K90" s="154">
        <v>2.7E-2</v>
      </c>
      <c r="L90" s="154">
        <v>1.7999999999999999E-2</v>
      </c>
      <c r="M90" s="154">
        <v>1.4E-2</v>
      </c>
      <c r="N90" s="154">
        <v>8.9999999999999993E-3</v>
      </c>
      <c r="O90" s="154">
        <v>1.6E-2</v>
      </c>
      <c r="P90" s="157">
        <f t="shared" si="87"/>
        <v>43.500000000000014</v>
      </c>
      <c r="Q90" s="155">
        <v>0.17399999999999999</v>
      </c>
      <c r="R90" s="156">
        <f t="shared" si="81"/>
        <v>0</v>
      </c>
      <c r="S90" s="157">
        <f t="shared" si="88"/>
        <v>100.00000000000003</v>
      </c>
      <c r="T90" s="156">
        <f t="shared" si="89"/>
        <v>0.3</v>
      </c>
      <c r="U90" s="156">
        <f t="shared" si="83"/>
        <v>-0.12599999999999995</v>
      </c>
      <c r="V90" s="157">
        <f t="shared" si="90"/>
        <v>58.000000000000021</v>
      </c>
      <c r="X90" s="154">
        <v>0.35</v>
      </c>
      <c r="Y90" s="156">
        <f t="shared" si="85"/>
        <v>-0.17599999999999993</v>
      </c>
      <c r="Z90" s="157">
        <f t="shared" si="86"/>
        <v>49.71428571428573</v>
      </c>
    </row>
    <row r="91" spans="1:31" s="24" customFormat="1" ht="47.25" customHeight="1" x14ac:dyDescent="0.3">
      <c r="A91" s="10">
        <f t="shared" si="91"/>
        <v>6</v>
      </c>
      <c r="B91" s="14" t="s">
        <v>10</v>
      </c>
      <c r="C91" s="7"/>
      <c r="D91" s="146">
        <f>SUM(D92:D95)</f>
        <v>90003.199999999997</v>
      </c>
      <c r="E91" s="146">
        <f>SUM(E92:E95)</f>
        <v>98303.2</v>
      </c>
      <c r="F91" s="146">
        <f>SUM(G91:O91)</f>
        <v>66102.512999999992</v>
      </c>
      <c r="G91" s="146">
        <f t="shared" ref="G91:Q91" si="92">SUM(G92:G95)</f>
        <v>8655.4589999999989</v>
      </c>
      <c r="H91" s="146">
        <f t="shared" si="92"/>
        <v>1630.1189999999999</v>
      </c>
      <c r="I91" s="146">
        <f t="shared" si="92"/>
        <v>10702.722</v>
      </c>
      <c r="J91" s="146">
        <f t="shared" si="92"/>
        <v>5034.759</v>
      </c>
      <c r="K91" s="146">
        <f t="shared" ref="K91:N91" si="93">SUM(K92:K95)</f>
        <v>5015.4139999999998</v>
      </c>
      <c r="L91" s="146">
        <f t="shared" si="93"/>
        <v>13135.803</v>
      </c>
      <c r="M91" s="146">
        <f t="shared" si="93"/>
        <v>3736.8130000000001</v>
      </c>
      <c r="N91" s="146">
        <f t="shared" si="93"/>
        <v>11192.501</v>
      </c>
      <c r="O91" s="146">
        <f t="shared" si="92"/>
        <v>6998.9230000000007</v>
      </c>
      <c r="P91" s="72">
        <f t="shared" si="87"/>
        <v>67.243500720220695</v>
      </c>
      <c r="Q91" s="146">
        <f t="shared" si="92"/>
        <v>64342.100000000006</v>
      </c>
      <c r="R91" s="146">
        <f t="shared" si="81"/>
        <v>1760.4129999999859</v>
      </c>
      <c r="S91" s="72">
        <f t="shared" si="88"/>
        <v>102.7360204283043</v>
      </c>
      <c r="T91" s="146">
        <f>SUM(T92:T95)</f>
        <v>73727.399999999994</v>
      </c>
      <c r="U91" s="71">
        <f t="shared" si="83"/>
        <v>-7624.8870000000024</v>
      </c>
      <c r="V91" s="72">
        <f t="shared" si="90"/>
        <v>89.658000960294274</v>
      </c>
      <c r="X91" s="146">
        <f>SUM(X92:X96)</f>
        <v>59054.91</v>
      </c>
      <c r="Y91" s="71">
        <f t="shared" si="85"/>
        <v>7047.6029999999882</v>
      </c>
      <c r="Z91" s="72">
        <f t="shared" si="86"/>
        <v>111.93398313535654</v>
      </c>
      <c r="AA91" s="46"/>
    </row>
    <row r="92" spans="1:31" s="48" customFormat="1" ht="39" x14ac:dyDescent="0.3">
      <c r="A92" s="12" t="s">
        <v>136</v>
      </c>
      <c r="B92" s="83" t="s">
        <v>146</v>
      </c>
      <c r="C92" s="15" t="s">
        <v>65</v>
      </c>
      <c r="D92" s="161">
        <v>3.2</v>
      </c>
      <c r="E92" s="161">
        <v>3.2</v>
      </c>
      <c r="F92" s="158">
        <f t="shared" si="78"/>
        <v>2.2000000000000002</v>
      </c>
      <c r="G92" s="158">
        <v>0</v>
      </c>
      <c r="H92" s="158">
        <v>0</v>
      </c>
      <c r="I92" s="158">
        <v>0</v>
      </c>
      <c r="J92" s="158">
        <v>0</v>
      </c>
      <c r="K92" s="158">
        <v>0</v>
      </c>
      <c r="L92" s="158">
        <v>2.2000000000000002</v>
      </c>
      <c r="M92" s="158">
        <v>0</v>
      </c>
      <c r="N92" s="158">
        <v>0</v>
      </c>
      <c r="O92" s="158">
        <v>0</v>
      </c>
      <c r="P92" s="159">
        <f t="shared" si="87"/>
        <v>68.75</v>
      </c>
      <c r="Q92" s="97">
        <v>2.2000000000000002</v>
      </c>
      <c r="R92" s="98">
        <f t="shared" si="81"/>
        <v>0</v>
      </c>
      <c r="S92" s="159">
        <f t="shared" si="88"/>
        <v>100</v>
      </c>
      <c r="T92" s="98">
        <f t="shared" ref="T92:T95" si="94">E92/12*9</f>
        <v>2.4</v>
      </c>
      <c r="U92" s="98">
        <f t="shared" si="83"/>
        <v>-0.19999999999999973</v>
      </c>
      <c r="V92" s="159">
        <f t="shared" si="90"/>
        <v>91.666666666666671</v>
      </c>
      <c r="X92" s="158">
        <v>2.2000000000000002</v>
      </c>
      <c r="Y92" s="98">
        <f t="shared" si="85"/>
        <v>0</v>
      </c>
      <c r="Z92" s="159">
        <f t="shared" si="86"/>
        <v>100</v>
      </c>
    </row>
    <row r="93" spans="1:31" s="48" customFormat="1" ht="46.5" customHeight="1" x14ac:dyDescent="0.3">
      <c r="A93" s="12" t="s">
        <v>137</v>
      </c>
      <c r="B93" s="83" t="s">
        <v>45</v>
      </c>
      <c r="C93" s="15" t="s">
        <v>44</v>
      </c>
      <c r="D93" s="161">
        <v>0</v>
      </c>
      <c r="E93" s="161">
        <v>12100</v>
      </c>
      <c r="F93" s="158">
        <f t="shared" si="78"/>
        <v>13575.739</v>
      </c>
      <c r="G93" s="158">
        <v>6037.933</v>
      </c>
      <c r="H93" s="158">
        <v>25.300999999999998</v>
      </c>
      <c r="I93" s="158">
        <v>2133.0540000000001</v>
      </c>
      <c r="J93" s="158">
        <v>152.38399999999999</v>
      </c>
      <c r="K93" s="158">
        <v>501.82100000000003</v>
      </c>
      <c r="L93" s="158">
        <v>1883.74</v>
      </c>
      <c r="M93" s="158">
        <v>1009.088</v>
      </c>
      <c r="N93" s="158">
        <v>281.81700000000001</v>
      </c>
      <c r="O93" s="158">
        <v>1550.6010000000001</v>
      </c>
      <c r="P93" s="159">
        <f t="shared" si="87"/>
        <v>112.19619008264463</v>
      </c>
      <c r="Q93" s="97">
        <v>12100</v>
      </c>
      <c r="R93" s="98">
        <f t="shared" si="81"/>
        <v>1475.7389999999996</v>
      </c>
      <c r="S93" s="159">
        <f t="shared" si="88"/>
        <v>112.19619008264463</v>
      </c>
      <c r="T93" s="98">
        <f t="shared" si="94"/>
        <v>9075</v>
      </c>
      <c r="U93" s="98">
        <f t="shared" si="83"/>
        <v>4500.7389999999996</v>
      </c>
      <c r="V93" s="159">
        <f t="shared" si="90"/>
        <v>149.59492011019285</v>
      </c>
      <c r="X93" s="158">
        <v>14524.446</v>
      </c>
      <c r="Y93" s="98">
        <f t="shared" si="85"/>
        <v>-948.70700000000033</v>
      </c>
      <c r="Z93" s="159">
        <f t="shared" si="86"/>
        <v>93.468205258913144</v>
      </c>
    </row>
    <row r="94" spans="1:31" s="48" customFormat="1" ht="23.25" x14ac:dyDescent="0.3">
      <c r="A94" s="12" t="s">
        <v>138</v>
      </c>
      <c r="B94" s="83" t="s">
        <v>36</v>
      </c>
      <c r="C94" s="15" t="s">
        <v>22</v>
      </c>
      <c r="D94" s="161">
        <v>20000</v>
      </c>
      <c r="E94" s="161">
        <v>20000</v>
      </c>
      <c r="F94" s="158">
        <f t="shared" si="78"/>
        <v>13638.048999999999</v>
      </c>
      <c r="G94" s="158">
        <v>0</v>
      </c>
      <c r="H94" s="158">
        <v>0</v>
      </c>
      <c r="I94" s="158">
        <v>2908.8789999999999</v>
      </c>
      <c r="J94" s="158">
        <v>1291.645</v>
      </c>
      <c r="K94" s="158">
        <v>0</v>
      </c>
      <c r="L94" s="158">
        <v>7448.0630000000001</v>
      </c>
      <c r="M94" s="158">
        <v>535.94399999999996</v>
      </c>
      <c r="N94" s="158">
        <v>0</v>
      </c>
      <c r="O94" s="158">
        <v>1453.518</v>
      </c>
      <c r="P94" s="159">
        <f t="shared" si="87"/>
        <v>68.19024499999999</v>
      </c>
      <c r="Q94" s="97">
        <v>13625</v>
      </c>
      <c r="R94" s="98">
        <f t="shared" si="81"/>
        <v>13.048999999999069</v>
      </c>
      <c r="S94" s="159">
        <f t="shared" si="88"/>
        <v>100.0957724770642</v>
      </c>
      <c r="T94" s="98">
        <f t="shared" si="94"/>
        <v>15000</v>
      </c>
      <c r="U94" s="98">
        <f t="shared" si="83"/>
        <v>-1361.9510000000009</v>
      </c>
      <c r="V94" s="159">
        <f t="shared" si="90"/>
        <v>90.920326666666668</v>
      </c>
      <c r="X94" s="158">
        <v>5864.4110000000001</v>
      </c>
      <c r="Y94" s="98">
        <f t="shared" si="85"/>
        <v>7773.637999999999</v>
      </c>
      <c r="Z94" s="159">
        <f t="shared" si="86"/>
        <v>232.55615951883314</v>
      </c>
    </row>
    <row r="95" spans="1:31" s="47" customFormat="1" ht="32.25" customHeight="1" x14ac:dyDescent="0.3">
      <c r="A95" s="12" t="s">
        <v>139</v>
      </c>
      <c r="B95" s="34" t="s">
        <v>71</v>
      </c>
      <c r="C95" s="15" t="s">
        <v>42</v>
      </c>
      <c r="D95" s="161">
        <v>70000</v>
      </c>
      <c r="E95" s="161">
        <v>66200</v>
      </c>
      <c r="F95" s="161">
        <f t="shared" si="78"/>
        <v>38886.524999999994</v>
      </c>
      <c r="G95" s="161">
        <v>2617.5259999999998</v>
      </c>
      <c r="H95" s="161">
        <v>1604.818</v>
      </c>
      <c r="I95" s="161">
        <v>5660.7889999999998</v>
      </c>
      <c r="J95" s="161">
        <v>3590.73</v>
      </c>
      <c r="K95" s="161">
        <v>4513.5929999999998</v>
      </c>
      <c r="L95" s="161">
        <v>3801.8</v>
      </c>
      <c r="M95" s="161">
        <v>2191.7809999999999</v>
      </c>
      <c r="N95" s="161">
        <v>10910.683999999999</v>
      </c>
      <c r="O95" s="161">
        <v>3994.8040000000001</v>
      </c>
      <c r="P95" s="159">
        <f t="shared" si="87"/>
        <v>58.740974320241676</v>
      </c>
      <c r="Q95" s="161">
        <v>38614.9</v>
      </c>
      <c r="R95" s="98">
        <f t="shared" si="81"/>
        <v>271.62499999999272</v>
      </c>
      <c r="S95" s="159">
        <f t="shared" si="88"/>
        <v>100.70342018236482</v>
      </c>
      <c r="T95" s="98">
        <f t="shared" si="94"/>
        <v>49650</v>
      </c>
      <c r="U95" s="98">
        <f t="shared" si="83"/>
        <v>-10763.475000000006</v>
      </c>
      <c r="V95" s="159">
        <f t="shared" si="90"/>
        <v>78.321299093655568</v>
      </c>
      <c r="X95" s="161">
        <v>38463.853000000003</v>
      </c>
      <c r="Y95" s="98">
        <f t="shared" si="85"/>
        <v>422.67199999999139</v>
      </c>
      <c r="Z95" s="159">
        <f t="shared" si="86"/>
        <v>101.09888107153486</v>
      </c>
    </row>
    <row r="96" spans="1:31" s="47" customFormat="1" ht="60" x14ac:dyDescent="0.3">
      <c r="A96" s="12" t="s">
        <v>179</v>
      </c>
      <c r="B96" s="34" t="s">
        <v>177</v>
      </c>
      <c r="C96" s="175" t="s">
        <v>121</v>
      </c>
      <c r="D96" s="161">
        <v>0</v>
      </c>
      <c r="E96" s="161">
        <v>0</v>
      </c>
      <c r="F96" s="161">
        <f t="shared" si="78"/>
        <v>0</v>
      </c>
      <c r="G96" s="161">
        <v>0</v>
      </c>
      <c r="H96" s="161">
        <v>0</v>
      </c>
      <c r="I96" s="161">
        <v>0</v>
      </c>
      <c r="J96" s="161">
        <v>0</v>
      </c>
      <c r="K96" s="161">
        <v>0</v>
      </c>
      <c r="L96" s="161">
        <v>0</v>
      </c>
      <c r="M96" s="161">
        <v>0</v>
      </c>
      <c r="N96" s="161">
        <v>0</v>
      </c>
      <c r="O96" s="161">
        <v>0</v>
      </c>
      <c r="P96" s="159"/>
      <c r="Q96" s="161">
        <v>0</v>
      </c>
      <c r="R96" s="98">
        <f t="shared" si="81"/>
        <v>0</v>
      </c>
      <c r="S96" s="159"/>
      <c r="T96" s="98">
        <f>E96/12*6</f>
        <v>0</v>
      </c>
      <c r="U96" s="98">
        <f t="shared" si="83"/>
        <v>0</v>
      </c>
      <c r="V96" s="159"/>
      <c r="X96" s="161">
        <v>200</v>
      </c>
      <c r="Y96" s="98">
        <f t="shared" si="85"/>
        <v>-200</v>
      </c>
      <c r="Z96" s="159"/>
    </row>
    <row r="97" spans="1:28" s="45" customFormat="1" ht="23.25" x14ac:dyDescent="0.3">
      <c r="A97" s="180">
        <v>7</v>
      </c>
      <c r="B97" s="96" t="s">
        <v>11</v>
      </c>
      <c r="C97" s="140" t="s">
        <v>23</v>
      </c>
      <c r="D97" s="160">
        <v>6000</v>
      </c>
      <c r="E97" s="160">
        <v>7000</v>
      </c>
      <c r="F97" s="154">
        <f t="shared" si="78"/>
        <v>6441.0110000000004</v>
      </c>
      <c r="G97" s="154">
        <v>431.85300000000001</v>
      </c>
      <c r="H97" s="154">
        <v>403.06599999999997</v>
      </c>
      <c r="I97" s="154">
        <v>337.41399999999999</v>
      </c>
      <c r="J97" s="154">
        <v>348.38400000000001</v>
      </c>
      <c r="K97" s="154">
        <v>273.77199999999999</v>
      </c>
      <c r="L97" s="154">
        <v>1847.547</v>
      </c>
      <c r="M97" s="154">
        <v>967.10500000000002</v>
      </c>
      <c r="N97" s="154">
        <v>1121.1310000000001</v>
      </c>
      <c r="O97" s="154">
        <v>710.73900000000003</v>
      </c>
      <c r="P97" s="157">
        <f>F97/E97*100</f>
        <v>92.014442857142868</v>
      </c>
      <c r="Q97" s="155">
        <v>6200</v>
      </c>
      <c r="R97" s="156">
        <f t="shared" si="81"/>
        <v>241.01100000000042</v>
      </c>
      <c r="S97" s="157">
        <f>F97/Q97*100</f>
        <v>103.88727419354839</v>
      </c>
      <c r="T97" s="156">
        <f>E97/12*9</f>
        <v>5250</v>
      </c>
      <c r="U97" s="156">
        <f t="shared" si="83"/>
        <v>1191.0110000000004</v>
      </c>
      <c r="V97" s="157">
        <f>F97/T97*100</f>
        <v>122.68592380952381</v>
      </c>
      <c r="X97" s="154">
        <v>5850.4130000000005</v>
      </c>
      <c r="Y97" s="156">
        <f t="shared" si="85"/>
        <v>590.59799999999996</v>
      </c>
      <c r="Z97" s="157">
        <f>F97/X97*100</f>
        <v>110.09497961938754</v>
      </c>
    </row>
    <row r="98" spans="1:28" s="38" customFormat="1" ht="33.75" customHeight="1" x14ac:dyDescent="0.3">
      <c r="A98" s="36"/>
      <c r="B98" s="65" t="s">
        <v>159</v>
      </c>
      <c r="C98" s="37"/>
      <c r="D98" s="145">
        <f>D84+D87+D89+D90+D92+D93+D94+D95+D97+D88</f>
        <v>168893.098</v>
      </c>
      <c r="E98" s="145">
        <f>E84+E87+E89+E90+E92+E93+E94+E95+E97+E88</f>
        <v>178318.098</v>
      </c>
      <c r="F98" s="145">
        <f t="shared" si="78"/>
        <v>145559.37900000002</v>
      </c>
      <c r="G98" s="145">
        <f t="shared" ref="G98:O98" si="95">G84+G87+G89+G90+G92+G93+G94+G95+G97+G88</f>
        <v>13052.776</v>
      </c>
      <c r="H98" s="145">
        <f t="shared" si="95"/>
        <v>11009.893</v>
      </c>
      <c r="I98" s="145">
        <f t="shared" si="95"/>
        <v>17081.435000000001</v>
      </c>
      <c r="J98" s="145">
        <f t="shared" si="95"/>
        <v>11273.431999999999</v>
      </c>
      <c r="K98" s="145">
        <f t="shared" ref="K98:N98" si="96">K84+K87+K89+K90+K92+K93+K94+K95+K97+K88</f>
        <v>10795.981</v>
      </c>
      <c r="L98" s="145">
        <f t="shared" si="96"/>
        <v>19595.115999999998</v>
      </c>
      <c r="M98" s="145">
        <f t="shared" si="96"/>
        <v>7688.4280000000008</v>
      </c>
      <c r="N98" s="145">
        <f t="shared" si="96"/>
        <v>17727.018</v>
      </c>
      <c r="O98" s="145">
        <f t="shared" si="95"/>
        <v>37335.300000000003</v>
      </c>
      <c r="P98" s="67">
        <f>F98/E98*100</f>
        <v>81.629055397394396</v>
      </c>
      <c r="Q98" s="145">
        <f>Q84+Q87+Q89+Q90+Q92+Q93+Q94+Q95+Q97+Q88</f>
        <v>124953.663</v>
      </c>
      <c r="R98" s="66">
        <f t="shared" si="81"/>
        <v>20605.716000000015</v>
      </c>
      <c r="S98" s="67">
        <f>F98/Q98*100</f>
        <v>116.49068583127493</v>
      </c>
      <c r="T98" s="66">
        <f>T84+T87+T89+T90+T92+T93+T94+T95+T97+T88</f>
        <v>133738.5735</v>
      </c>
      <c r="U98" s="66">
        <f t="shared" si="83"/>
        <v>11820.805500000017</v>
      </c>
      <c r="V98" s="67">
        <f>F98/T98*100</f>
        <v>108.83874052985918</v>
      </c>
      <c r="X98" s="145">
        <f>X84+X87+X89+X90+X92+X93+X94+X95+X97+X88</f>
        <v>114804.463</v>
      </c>
      <c r="Y98" s="66">
        <f t="shared" si="85"/>
        <v>30754.916000000012</v>
      </c>
      <c r="Z98" s="67">
        <f>F98/X98*100</f>
        <v>126.78895506004851</v>
      </c>
    </row>
    <row r="99" spans="1:28" s="50" customFormat="1" ht="22.5" hidden="1" x14ac:dyDescent="0.3">
      <c r="A99" s="49"/>
      <c r="B99" s="70"/>
      <c r="C99" s="41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72"/>
      <c r="Q99" s="146"/>
      <c r="R99" s="71"/>
      <c r="S99" s="72"/>
      <c r="T99" s="71"/>
      <c r="U99" s="71"/>
      <c r="V99" s="72"/>
      <c r="X99" s="146"/>
      <c r="Y99" s="71"/>
      <c r="Z99" s="72"/>
    </row>
    <row r="100" spans="1:28" s="50" customFormat="1" ht="67.5" hidden="1" x14ac:dyDescent="0.3">
      <c r="A100" s="49"/>
      <c r="B100" s="70" t="s">
        <v>67</v>
      </c>
      <c r="C100" s="41"/>
      <c r="D100" s="146">
        <f>D98-D84</f>
        <v>98446.9</v>
      </c>
      <c r="E100" s="146">
        <f>E98-E84</f>
        <v>107871.9</v>
      </c>
      <c r="F100" s="146">
        <f>SUM(G100:O100)</f>
        <v>74218.311000000002</v>
      </c>
      <c r="G100" s="146">
        <f t="shared" ref="G100:Q100" si="97">G98-G84</f>
        <v>9192.4709999999995</v>
      </c>
      <c r="H100" s="146">
        <f t="shared" si="97"/>
        <v>2249.5969999999998</v>
      </c>
      <c r="I100" s="146">
        <f t="shared" si="97"/>
        <v>11232.656000000003</v>
      </c>
      <c r="J100" s="146">
        <f t="shared" si="97"/>
        <v>5581.9759999999987</v>
      </c>
      <c r="K100" s="146">
        <f t="shared" ref="K100:N100" si="98">K98-K84</f>
        <v>5586.1489999999994</v>
      </c>
      <c r="L100" s="146">
        <f t="shared" si="98"/>
        <v>15112.713999999998</v>
      </c>
      <c r="M100" s="146">
        <f t="shared" si="98"/>
        <v>4852.4980000000014</v>
      </c>
      <c r="N100" s="146">
        <f t="shared" si="98"/>
        <v>12599.746999999999</v>
      </c>
      <c r="O100" s="146">
        <f t="shared" si="97"/>
        <v>7810.5030000000006</v>
      </c>
      <c r="P100" s="72">
        <f>F100/E100*100</f>
        <v>68.802265464870842</v>
      </c>
      <c r="Q100" s="146">
        <f t="shared" si="97"/>
        <v>72119.013999999996</v>
      </c>
      <c r="R100" s="71">
        <f>F100-Q100</f>
        <v>2099.2970000000059</v>
      </c>
      <c r="S100" s="72">
        <f>F100/Q100*100</f>
        <v>102.9108786761838</v>
      </c>
      <c r="T100" s="146">
        <f>T98-T84</f>
        <v>80903.924999999988</v>
      </c>
      <c r="U100" s="71">
        <f>F100-T100</f>
        <v>-6685.6139999999868</v>
      </c>
      <c r="V100" s="72">
        <f>F100/T100*100</f>
        <v>91.736353953161114</v>
      </c>
      <c r="X100" s="146">
        <f>X98-X84</f>
        <v>65402.536</v>
      </c>
      <c r="Y100" s="71">
        <f>F100-X100</f>
        <v>8815.7750000000015</v>
      </c>
      <c r="Z100" s="72">
        <f>F100/X100*100</f>
        <v>113.47925560562362</v>
      </c>
    </row>
    <row r="101" spans="1:28" s="50" customFormat="1" ht="22.5" x14ac:dyDescent="0.3">
      <c r="A101" s="49"/>
      <c r="B101" s="107"/>
      <c r="C101" s="41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72"/>
      <c r="Q101" s="146"/>
      <c r="R101" s="71"/>
      <c r="S101" s="72"/>
      <c r="T101" s="71"/>
      <c r="U101" s="71"/>
      <c r="V101" s="72"/>
      <c r="X101" s="146"/>
      <c r="Y101" s="71"/>
      <c r="Z101" s="72"/>
    </row>
    <row r="102" spans="1:28" s="141" customFormat="1" ht="78" x14ac:dyDescent="0.25">
      <c r="A102" s="180">
        <v>1</v>
      </c>
      <c r="B102" s="147" t="s">
        <v>218</v>
      </c>
      <c r="C102" s="140" t="s">
        <v>75</v>
      </c>
      <c r="D102" s="160">
        <v>120420</v>
      </c>
      <c r="E102" s="160">
        <v>120420</v>
      </c>
      <c r="F102" s="160">
        <f t="shared" si="78"/>
        <v>6040.8</v>
      </c>
      <c r="G102" s="160">
        <v>0</v>
      </c>
      <c r="H102" s="160">
        <v>0</v>
      </c>
      <c r="I102" s="160">
        <v>1530.3</v>
      </c>
      <c r="J102" s="160">
        <v>0</v>
      </c>
      <c r="K102" s="160">
        <v>2328</v>
      </c>
      <c r="L102" s="160">
        <v>0</v>
      </c>
      <c r="M102" s="160">
        <v>0</v>
      </c>
      <c r="N102" s="160">
        <v>0</v>
      </c>
      <c r="O102" s="160">
        <v>2182.5</v>
      </c>
      <c r="P102" s="143">
        <f>F102/E102*100</f>
        <v>5.0164424514200299</v>
      </c>
      <c r="Q102" s="160">
        <v>120420</v>
      </c>
      <c r="R102" s="156">
        <f>F102-Q102</f>
        <v>-114379.2</v>
      </c>
      <c r="S102" s="143">
        <f t="shared" ref="S102:S106" si="99">F102/Q102*100</f>
        <v>5.0164424514200299</v>
      </c>
      <c r="T102" s="160">
        <f>Q102</f>
        <v>120420</v>
      </c>
      <c r="U102" s="156">
        <f>F102-T102</f>
        <v>-114379.2</v>
      </c>
      <c r="V102" s="143">
        <f>F102/T102*100</f>
        <v>5.0164424514200299</v>
      </c>
      <c r="X102" s="160">
        <v>60691.870999999999</v>
      </c>
      <c r="Y102" s="156">
        <f>F102-X102</f>
        <v>-54651.070999999996</v>
      </c>
      <c r="Z102" s="157">
        <f>F102/X102*100</f>
        <v>9.9532275088372213</v>
      </c>
    </row>
    <row r="103" spans="1:28" s="141" customFormat="1" ht="97.5" x14ac:dyDescent="0.25">
      <c r="A103" s="180">
        <f>A102+1</f>
        <v>2</v>
      </c>
      <c r="B103" s="147" t="s">
        <v>219</v>
      </c>
      <c r="C103" s="140" t="s">
        <v>178</v>
      </c>
      <c r="D103" s="160">
        <v>0</v>
      </c>
      <c r="E103" s="160">
        <v>50000</v>
      </c>
      <c r="F103" s="160">
        <f t="shared" si="78"/>
        <v>22508.962</v>
      </c>
      <c r="G103" s="160">
        <v>0</v>
      </c>
      <c r="H103" s="160">
        <v>0</v>
      </c>
      <c r="I103" s="160">
        <v>0</v>
      </c>
      <c r="J103" s="160">
        <v>0</v>
      </c>
      <c r="K103" s="160">
        <v>0</v>
      </c>
      <c r="L103" s="160">
        <v>0</v>
      </c>
      <c r="M103" s="160">
        <v>0</v>
      </c>
      <c r="N103" s="160">
        <v>13508.709000000001</v>
      </c>
      <c r="O103" s="160">
        <v>9000.2530000000006</v>
      </c>
      <c r="P103" s="143">
        <f>F103/E103*100</f>
        <v>45.017924000000001</v>
      </c>
      <c r="Q103" s="160">
        <v>50000</v>
      </c>
      <c r="R103" s="156">
        <f>F103-Q103</f>
        <v>-27491.038</v>
      </c>
      <c r="S103" s="143">
        <f t="shared" si="99"/>
        <v>45.017924000000001</v>
      </c>
      <c r="T103" s="160">
        <f>Q103</f>
        <v>50000</v>
      </c>
      <c r="U103" s="156">
        <f>F103-T103</f>
        <v>-27491.038</v>
      </c>
      <c r="V103" s="143">
        <f t="shared" ref="V103:V106" si="100">F103/T103*100</f>
        <v>45.017924000000001</v>
      </c>
      <c r="X103" s="160">
        <v>18825.361000000001</v>
      </c>
      <c r="Y103" s="156">
        <f>F103-X103</f>
        <v>3683.6009999999987</v>
      </c>
      <c r="Z103" s="157">
        <f>F103/X103*100</f>
        <v>119.56722636022756</v>
      </c>
    </row>
    <row r="104" spans="1:28" s="141" customFormat="1" ht="58.5" x14ac:dyDescent="0.25">
      <c r="A104" s="180">
        <f>A103+1</f>
        <v>3</v>
      </c>
      <c r="B104" s="190" t="s">
        <v>220</v>
      </c>
      <c r="C104" s="140" t="s">
        <v>121</v>
      </c>
      <c r="D104" s="160">
        <v>0</v>
      </c>
      <c r="E104" s="160">
        <f>E105+E106</f>
        <v>13000</v>
      </c>
      <c r="F104" s="160">
        <f t="shared" si="78"/>
        <v>6546.7870000000003</v>
      </c>
      <c r="G104" s="160">
        <v>0</v>
      </c>
      <c r="H104" s="160">
        <v>0</v>
      </c>
      <c r="I104" s="160">
        <v>0</v>
      </c>
      <c r="J104" s="160">
        <v>0</v>
      </c>
      <c r="K104" s="160">
        <v>0</v>
      </c>
      <c r="L104" s="160">
        <v>0</v>
      </c>
      <c r="M104" s="160">
        <v>0</v>
      </c>
      <c r="N104" s="160">
        <v>0</v>
      </c>
      <c r="O104" s="160">
        <f>SUM(O105:O106)</f>
        <v>6546.7870000000003</v>
      </c>
      <c r="P104" s="143">
        <f>F104/E104*100</f>
        <v>50.359900000000003</v>
      </c>
      <c r="Q104" s="160">
        <v>13000</v>
      </c>
      <c r="R104" s="156">
        <f>F104-Q104</f>
        <v>-6453.2129999999997</v>
      </c>
      <c r="S104" s="143">
        <f t="shared" si="99"/>
        <v>50.359900000000003</v>
      </c>
      <c r="T104" s="160">
        <f>Q104</f>
        <v>13000</v>
      </c>
      <c r="U104" s="156">
        <f>F104-T104</f>
        <v>-6453.2129999999997</v>
      </c>
      <c r="V104" s="143">
        <f t="shared" si="100"/>
        <v>50.359900000000003</v>
      </c>
      <c r="X104" s="160">
        <v>0</v>
      </c>
      <c r="Y104" s="156">
        <f>F104-X104</f>
        <v>6546.7870000000003</v>
      </c>
      <c r="Z104" s="157"/>
    </row>
    <row r="105" spans="1:28" s="6" customFormat="1" ht="58.5" x14ac:dyDescent="0.25">
      <c r="A105" s="142" t="s">
        <v>115</v>
      </c>
      <c r="B105" s="186" t="s">
        <v>189</v>
      </c>
      <c r="C105" s="15"/>
      <c r="D105" s="161">
        <v>0</v>
      </c>
      <c r="E105" s="161">
        <v>3000</v>
      </c>
      <c r="F105" s="161">
        <f t="shared" si="78"/>
        <v>0</v>
      </c>
      <c r="G105" s="161">
        <v>0</v>
      </c>
      <c r="H105" s="161">
        <v>0</v>
      </c>
      <c r="I105" s="161">
        <v>0</v>
      </c>
      <c r="J105" s="161">
        <v>0</v>
      </c>
      <c r="K105" s="161">
        <v>0</v>
      </c>
      <c r="L105" s="161">
        <v>0</v>
      </c>
      <c r="M105" s="161">
        <v>0</v>
      </c>
      <c r="N105" s="161">
        <v>0</v>
      </c>
      <c r="O105" s="161">
        <v>0</v>
      </c>
      <c r="P105" s="187">
        <f>F105/E105*100</f>
        <v>0</v>
      </c>
      <c r="Q105" s="161">
        <v>3000</v>
      </c>
      <c r="R105" s="98">
        <f>F105-Q105</f>
        <v>-3000</v>
      </c>
      <c r="S105" s="187">
        <f t="shared" si="99"/>
        <v>0</v>
      </c>
      <c r="T105" s="161">
        <f t="shared" ref="T105:T106" si="101">Q105</f>
        <v>3000</v>
      </c>
      <c r="U105" s="98">
        <f t="shared" ref="U105:U106" si="102">F105-T105</f>
        <v>-3000</v>
      </c>
      <c r="V105" s="187">
        <f t="shared" si="100"/>
        <v>0</v>
      </c>
      <c r="X105" s="161">
        <v>0</v>
      </c>
      <c r="Y105" s="98">
        <f t="shared" ref="Y105:Y106" si="103">F105-X105</f>
        <v>0</v>
      </c>
      <c r="Z105" s="159"/>
    </row>
    <row r="106" spans="1:28" s="6" customFormat="1" ht="23.25" x14ac:dyDescent="0.25">
      <c r="A106" s="142" t="s">
        <v>116</v>
      </c>
      <c r="B106" s="186" t="s">
        <v>190</v>
      </c>
      <c r="C106" s="15"/>
      <c r="D106" s="161">
        <v>0</v>
      </c>
      <c r="E106" s="161">
        <v>10000</v>
      </c>
      <c r="F106" s="161">
        <f t="shared" si="78"/>
        <v>6546.7870000000003</v>
      </c>
      <c r="G106" s="161">
        <v>0</v>
      </c>
      <c r="H106" s="161">
        <v>0</v>
      </c>
      <c r="I106" s="161">
        <v>0</v>
      </c>
      <c r="J106" s="161">
        <v>0</v>
      </c>
      <c r="K106" s="161">
        <v>0</v>
      </c>
      <c r="L106" s="161">
        <v>0</v>
      </c>
      <c r="M106" s="161">
        <v>0</v>
      </c>
      <c r="N106" s="161">
        <v>0</v>
      </c>
      <c r="O106" s="161">
        <v>6546.7870000000003</v>
      </c>
      <c r="P106" s="187">
        <f>F106/E106*100</f>
        <v>65.467870000000005</v>
      </c>
      <c r="Q106" s="161">
        <v>10000</v>
      </c>
      <c r="R106" s="98">
        <f>F106-Q106</f>
        <v>-3453.2129999999997</v>
      </c>
      <c r="S106" s="187">
        <f t="shared" si="99"/>
        <v>65.467870000000005</v>
      </c>
      <c r="T106" s="161">
        <f t="shared" si="101"/>
        <v>10000</v>
      </c>
      <c r="U106" s="98">
        <f t="shared" si="102"/>
        <v>-3453.2129999999997</v>
      </c>
      <c r="V106" s="187">
        <f t="shared" si="100"/>
        <v>65.467870000000005</v>
      </c>
      <c r="X106" s="161">
        <v>0</v>
      </c>
      <c r="Y106" s="98">
        <f t="shared" si="103"/>
        <v>6546.7870000000003</v>
      </c>
      <c r="Z106" s="159"/>
    </row>
    <row r="107" spans="1:28" s="27" customFormat="1" ht="22.5" x14ac:dyDescent="0.25">
      <c r="A107" s="26"/>
      <c r="B107" s="73"/>
      <c r="C107" s="19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72"/>
      <c r="Q107" s="146"/>
      <c r="R107" s="71"/>
      <c r="S107" s="72"/>
      <c r="T107" s="71"/>
      <c r="U107" s="71"/>
      <c r="V107" s="72"/>
      <c r="X107" s="146"/>
      <c r="Y107" s="71"/>
      <c r="Z107" s="72"/>
    </row>
    <row r="108" spans="1:28" s="42" customFormat="1" ht="22.5" x14ac:dyDescent="0.3">
      <c r="A108" s="39"/>
      <c r="B108" s="43" t="s">
        <v>28</v>
      </c>
      <c r="C108" s="41"/>
      <c r="D108" s="146">
        <f>D109+D110</f>
        <v>120420</v>
      </c>
      <c r="E108" s="146">
        <f>E109+E110</f>
        <v>183420</v>
      </c>
      <c r="F108" s="146">
        <f t="shared" si="78"/>
        <v>35096.548999999999</v>
      </c>
      <c r="G108" s="146">
        <f t="shared" ref="G108:Q108" si="104">G109+G110</f>
        <v>0</v>
      </c>
      <c r="H108" s="146">
        <f t="shared" si="104"/>
        <v>0</v>
      </c>
      <c r="I108" s="146">
        <f t="shared" si="104"/>
        <v>1530.3</v>
      </c>
      <c r="J108" s="146">
        <f t="shared" si="104"/>
        <v>0</v>
      </c>
      <c r="K108" s="146">
        <f t="shared" ref="K108:N108" si="105">K109+K110</f>
        <v>2328</v>
      </c>
      <c r="L108" s="146">
        <f t="shared" si="105"/>
        <v>0</v>
      </c>
      <c r="M108" s="146">
        <f t="shared" si="105"/>
        <v>0</v>
      </c>
      <c r="N108" s="146">
        <f t="shared" si="105"/>
        <v>13508.709000000001</v>
      </c>
      <c r="O108" s="146">
        <f t="shared" si="104"/>
        <v>17729.54</v>
      </c>
      <c r="P108" s="72">
        <f>F108/E108*100</f>
        <v>19.134526769163667</v>
      </c>
      <c r="Q108" s="146">
        <f t="shared" si="104"/>
        <v>183420</v>
      </c>
      <c r="R108" s="71">
        <f>F108-Q108</f>
        <v>-148323.451</v>
      </c>
      <c r="S108" s="72">
        <f>F108/Q108*100</f>
        <v>19.134526769163667</v>
      </c>
      <c r="T108" s="146">
        <f>T109+T110</f>
        <v>120420</v>
      </c>
      <c r="U108" s="71">
        <f>F108-T108</f>
        <v>-85323.451000000001</v>
      </c>
      <c r="V108" s="72">
        <f>F108/T108*100</f>
        <v>29.145116259757515</v>
      </c>
      <c r="X108" s="146">
        <f t="shared" ref="X108" si="106">X109+X110</f>
        <v>79717.232000000004</v>
      </c>
      <c r="Y108" s="71">
        <f>F108-X108</f>
        <v>-44620.683000000005</v>
      </c>
      <c r="Z108" s="72">
        <f>F108/X108*100</f>
        <v>44.026301615690819</v>
      </c>
    </row>
    <row r="109" spans="1:28" s="6" customFormat="1" ht="23.25" x14ac:dyDescent="0.25">
      <c r="A109" s="12"/>
      <c r="B109" s="15" t="s">
        <v>111</v>
      </c>
      <c r="C109" s="15"/>
      <c r="D109" s="161">
        <f>D102</f>
        <v>120420</v>
      </c>
      <c r="E109" s="161">
        <f>E102</f>
        <v>120420</v>
      </c>
      <c r="F109" s="161">
        <f t="shared" si="78"/>
        <v>6040.8</v>
      </c>
      <c r="G109" s="161">
        <f t="shared" ref="G109:Q109" si="107">G102</f>
        <v>0</v>
      </c>
      <c r="H109" s="161">
        <f t="shared" si="107"/>
        <v>0</v>
      </c>
      <c r="I109" s="161">
        <f t="shared" si="107"/>
        <v>1530.3</v>
      </c>
      <c r="J109" s="161">
        <f t="shared" si="107"/>
        <v>0</v>
      </c>
      <c r="K109" s="161">
        <f t="shared" ref="K109:N109" si="108">K102</f>
        <v>2328</v>
      </c>
      <c r="L109" s="161">
        <f t="shared" si="108"/>
        <v>0</v>
      </c>
      <c r="M109" s="161">
        <f t="shared" si="108"/>
        <v>0</v>
      </c>
      <c r="N109" s="161">
        <f t="shared" si="108"/>
        <v>0</v>
      </c>
      <c r="O109" s="161">
        <f t="shared" si="107"/>
        <v>2182.5</v>
      </c>
      <c r="P109" s="159">
        <f>F109/E109*100</f>
        <v>5.0164424514200299</v>
      </c>
      <c r="Q109" s="161">
        <f t="shared" si="107"/>
        <v>120420</v>
      </c>
      <c r="R109" s="98">
        <f>F109-Q109</f>
        <v>-114379.2</v>
      </c>
      <c r="S109" s="159">
        <f t="shared" ref="S109:S110" si="109">F109/Q109*100</f>
        <v>5.0164424514200299</v>
      </c>
      <c r="T109" s="161">
        <f>T102</f>
        <v>120420</v>
      </c>
      <c r="U109" s="98">
        <f>F109-T109</f>
        <v>-114379.2</v>
      </c>
      <c r="V109" s="159">
        <f>F109/T109*100</f>
        <v>5.0164424514200299</v>
      </c>
      <c r="X109" s="161">
        <f>X102</f>
        <v>60691.870999999999</v>
      </c>
      <c r="Y109" s="98">
        <f>F109-X109</f>
        <v>-54651.070999999996</v>
      </c>
      <c r="Z109" s="159">
        <f>F109/X109*100</f>
        <v>9.9532275088372213</v>
      </c>
    </row>
    <row r="110" spans="1:28" s="6" customFormat="1" ht="23.25" x14ac:dyDescent="0.25">
      <c r="A110" s="12"/>
      <c r="B110" s="137" t="s">
        <v>110</v>
      </c>
      <c r="C110" s="15"/>
      <c r="D110" s="161">
        <f>D104</f>
        <v>0</v>
      </c>
      <c r="E110" s="161">
        <f>E104+E103</f>
        <v>63000</v>
      </c>
      <c r="F110" s="161">
        <f t="shared" si="78"/>
        <v>29055.749000000003</v>
      </c>
      <c r="G110" s="161">
        <f>G104+G103</f>
        <v>0</v>
      </c>
      <c r="H110" s="161">
        <f t="shared" ref="H110:Q110" si="110">H104+H103</f>
        <v>0</v>
      </c>
      <c r="I110" s="161">
        <f t="shared" si="110"/>
        <v>0</v>
      </c>
      <c r="J110" s="161">
        <f t="shared" si="110"/>
        <v>0</v>
      </c>
      <c r="K110" s="161">
        <f t="shared" si="110"/>
        <v>0</v>
      </c>
      <c r="L110" s="161">
        <f t="shared" si="110"/>
        <v>0</v>
      </c>
      <c r="M110" s="161">
        <f t="shared" ref="M110:N110" si="111">M104+M103</f>
        <v>0</v>
      </c>
      <c r="N110" s="161">
        <f t="shared" si="111"/>
        <v>13508.709000000001</v>
      </c>
      <c r="O110" s="161">
        <f t="shared" si="110"/>
        <v>15547.04</v>
      </c>
      <c r="P110" s="159">
        <f>F110/E110*100</f>
        <v>46.120236507936511</v>
      </c>
      <c r="Q110" s="161">
        <f t="shared" si="110"/>
        <v>63000</v>
      </c>
      <c r="R110" s="98">
        <f>F110-Q110</f>
        <v>-33944.250999999997</v>
      </c>
      <c r="S110" s="159">
        <f t="shared" si="109"/>
        <v>46.120236507936511</v>
      </c>
      <c r="T110" s="161">
        <v>0</v>
      </c>
      <c r="U110" s="98">
        <f>F110-T110</f>
        <v>29055.749000000003</v>
      </c>
      <c r="V110" s="159"/>
      <c r="X110" s="161">
        <f>X103+X104+X96</f>
        <v>19025.361000000001</v>
      </c>
      <c r="Y110" s="98">
        <f>F110-X110</f>
        <v>10030.388000000003</v>
      </c>
      <c r="Z110" s="159">
        <f>F110/X110*100</f>
        <v>152.72114416120672</v>
      </c>
    </row>
    <row r="111" spans="1:28" s="8" customFormat="1" ht="23.25" x14ac:dyDescent="0.25">
      <c r="A111" s="180"/>
      <c r="B111" s="31"/>
      <c r="C111" s="140"/>
      <c r="D111" s="160"/>
      <c r="E111" s="160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57"/>
      <c r="Q111" s="160"/>
      <c r="R111" s="156"/>
      <c r="S111" s="157"/>
      <c r="T111" s="160"/>
      <c r="U111" s="156"/>
      <c r="V111" s="157"/>
      <c r="X111" s="163"/>
      <c r="Y111" s="156"/>
      <c r="Z111" s="157"/>
    </row>
    <row r="112" spans="1:28" s="116" customFormat="1" ht="23.25" x14ac:dyDescent="0.3">
      <c r="A112" s="109"/>
      <c r="B112" s="110" t="s">
        <v>41</v>
      </c>
      <c r="C112" s="117"/>
      <c r="D112" s="112">
        <f>D98+D108</f>
        <v>289313.098</v>
      </c>
      <c r="E112" s="112">
        <f>E98+E108</f>
        <v>361738.098</v>
      </c>
      <c r="F112" s="112">
        <f t="shared" si="78"/>
        <v>180655.92800000001</v>
      </c>
      <c r="G112" s="112">
        <f t="shared" ref="G112:Q112" si="112">G98+G108</f>
        <v>13052.776</v>
      </c>
      <c r="H112" s="112">
        <f t="shared" si="112"/>
        <v>11009.893</v>
      </c>
      <c r="I112" s="112">
        <f t="shared" si="112"/>
        <v>18611.735000000001</v>
      </c>
      <c r="J112" s="112">
        <f t="shared" si="112"/>
        <v>11273.431999999999</v>
      </c>
      <c r="K112" s="112">
        <f t="shared" ref="K112:N112" si="113">K98+K108</f>
        <v>13123.981</v>
      </c>
      <c r="L112" s="112">
        <f t="shared" si="113"/>
        <v>19595.115999999998</v>
      </c>
      <c r="M112" s="112">
        <f t="shared" si="113"/>
        <v>7688.4280000000008</v>
      </c>
      <c r="N112" s="112">
        <f t="shared" si="113"/>
        <v>31235.726999999999</v>
      </c>
      <c r="O112" s="112">
        <f t="shared" si="112"/>
        <v>55064.840000000004</v>
      </c>
      <c r="P112" s="114">
        <f>F112/E112*100</f>
        <v>49.941084170791441</v>
      </c>
      <c r="Q112" s="112">
        <f t="shared" si="112"/>
        <v>308373.663</v>
      </c>
      <c r="R112" s="113">
        <f>F112-Q112</f>
        <v>-127717.73499999999</v>
      </c>
      <c r="S112" s="114">
        <f>F112/Q112*100</f>
        <v>58.583449131970788</v>
      </c>
      <c r="T112" s="112">
        <f>T98+T108</f>
        <v>254158.5735</v>
      </c>
      <c r="U112" s="113">
        <f>F112-T112</f>
        <v>-73502.645499999984</v>
      </c>
      <c r="V112" s="114">
        <f>F112/T112*100</f>
        <v>71.080005491138792</v>
      </c>
      <c r="X112" s="112">
        <f>X98+X108</f>
        <v>194521.69500000001</v>
      </c>
      <c r="Y112" s="113">
        <f>F112-X112</f>
        <v>-13865.766999999993</v>
      </c>
      <c r="Z112" s="114">
        <f>F112/X112*100</f>
        <v>92.871866040443464</v>
      </c>
      <c r="AA112" s="116">
        <v>177970.08</v>
      </c>
      <c r="AB112" s="115">
        <f>AA112-X112</f>
        <v>-16551.61500000002</v>
      </c>
    </row>
    <row r="113" spans="1:27" s="42" customFormat="1" ht="22.5" hidden="1" x14ac:dyDescent="0.3">
      <c r="A113" s="39"/>
      <c r="B113" s="40"/>
      <c r="C113" s="41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72"/>
      <c r="Q113" s="146"/>
      <c r="R113" s="71"/>
      <c r="S113" s="72"/>
      <c r="T113" s="146"/>
      <c r="U113" s="71"/>
      <c r="V113" s="72"/>
      <c r="X113" s="146"/>
      <c r="Y113" s="71"/>
      <c r="Z113" s="72"/>
    </row>
    <row r="114" spans="1:27" s="124" customFormat="1" ht="69.75" hidden="1" x14ac:dyDescent="0.3">
      <c r="A114" s="118"/>
      <c r="B114" s="119" t="s">
        <v>66</v>
      </c>
      <c r="C114" s="120"/>
      <c r="D114" s="121">
        <f>D112-D84</f>
        <v>218866.9</v>
      </c>
      <c r="E114" s="121">
        <f>E112-E84</f>
        <v>291291.90000000002</v>
      </c>
      <c r="F114" s="121">
        <f t="shared" si="78"/>
        <v>109314.86</v>
      </c>
      <c r="G114" s="121">
        <f t="shared" ref="G114:Q114" si="114">G112-G84</f>
        <v>9192.4709999999995</v>
      </c>
      <c r="H114" s="121">
        <f t="shared" si="114"/>
        <v>2249.5969999999998</v>
      </c>
      <c r="I114" s="121">
        <f t="shared" si="114"/>
        <v>12762.956000000002</v>
      </c>
      <c r="J114" s="121">
        <f t="shared" si="114"/>
        <v>5581.9759999999987</v>
      </c>
      <c r="K114" s="121">
        <f t="shared" ref="K114:N114" si="115">K112-K84</f>
        <v>7914.1489999999994</v>
      </c>
      <c r="L114" s="121">
        <f t="shared" si="115"/>
        <v>15112.713999999998</v>
      </c>
      <c r="M114" s="121">
        <f t="shared" si="115"/>
        <v>4852.4980000000014</v>
      </c>
      <c r="N114" s="121">
        <f t="shared" si="115"/>
        <v>26108.455999999998</v>
      </c>
      <c r="O114" s="121">
        <f t="shared" si="114"/>
        <v>25540.043000000001</v>
      </c>
      <c r="P114" s="123">
        <f>F114/E114*100</f>
        <v>37.527600321189844</v>
      </c>
      <c r="Q114" s="121">
        <f t="shared" si="114"/>
        <v>255539.014</v>
      </c>
      <c r="R114" s="122">
        <f>F114-Q114</f>
        <v>-146224.15399999998</v>
      </c>
      <c r="S114" s="123">
        <f>F114/Q114*100</f>
        <v>42.778148936584692</v>
      </c>
      <c r="T114" s="121">
        <f>T112-T84</f>
        <v>201323.92499999999</v>
      </c>
      <c r="U114" s="122">
        <f>F114-T114</f>
        <v>-92009.064999999988</v>
      </c>
      <c r="V114" s="123">
        <f>F114/T114*100</f>
        <v>54.297997617521119</v>
      </c>
      <c r="X114" s="121">
        <f>X112-X84</f>
        <v>145119.76800000001</v>
      </c>
      <c r="Y114" s="122">
        <f>F114-X114</f>
        <v>-35804.90800000001</v>
      </c>
      <c r="Z114" s="123">
        <f>F114/X114*100</f>
        <v>75.327339277444267</v>
      </c>
    </row>
    <row r="115" spans="1:27" s="11" customFormat="1" ht="25.5" customHeight="1" x14ac:dyDescent="0.25">
      <c r="A115" s="202" t="s">
        <v>40</v>
      </c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4"/>
    </row>
    <row r="116" spans="1:27" s="124" customFormat="1" ht="33" customHeight="1" x14ac:dyDescent="0.3">
      <c r="A116" s="126"/>
      <c r="B116" s="119" t="s">
        <v>162</v>
      </c>
      <c r="C116" s="120"/>
      <c r="D116" s="121">
        <f>D47+D98</f>
        <v>3920514.4869999997</v>
      </c>
      <c r="E116" s="121">
        <f>E47+E98</f>
        <v>3929939.4869999997</v>
      </c>
      <c r="F116" s="121">
        <f t="shared" ref="F116:F131" si="116">SUM(G116:O116)</f>
        <v>2782480.33</v>
      </c>
      <c r="G116" s="121">
        <f t="shared" ref="G116:Q116" si="117">G47+G98</f>
        <v>250348.01899999997</v>
      </c>
      <c r="H116" s="121">
        <f t="shared" si="117"/>
        <v>316324.92500000005</v>
      </c>
      <c r="I116" s="121">
        <f t="shared" si="117"/>
        <v>293871.63500000001</v>
      </c>
      <c r="J116" s="121">
        <f t="shared" si="117"/>
        <v>321819.16699999996</v>
      </c>
      <c r="K116" s="121">
        <f t="shared" si="117"/>
        <v>319289.49</v>
      </c>
      <c r="L116" s="121">
        <f t="shared" si="117"/>
        <v>314075.54199999996</v>
      </c>
      <c r="M116" s="121">
        <f t="shared" si="117"/>
        <v>331080.71700000006</v>
      </c>
      <c r="N116" s="121">
        <f t="shared" si="117"/>
        <v>328019.30800000002</v>
      </c>
      <c r="O116" s="121">
        <f t="shared" si="117"/>
        <v>307651.52699999994</v>
      </c>
      <c r="P116" s="123">
        <f>F116/E116*100</f>
        <v>70.802116399101706</v>
      </c>
      <c r="Q116" s="121">
        <f t="shared" si="117"/>
        <v>2604025.4219999998</v>
      </c>
      <c r="R116" s="122">
        <f>F116-Q116</f>
        <v>178454.90800000029</v>
      </c>
      <c r="S116" s="123">
        <f>F116/Q116*100</f>
        <v>106.85304016206338</v>
      </c>
      <c r="T116" s="121">
        <f>T47+T98</f>
        <v>2947454.6152499993</v>
      </c>
      <c r="U116" s="122">
        <f>F116-T116</f>
        <v>-164974.28524999926</v>
      </c>
      <c r="V116" s="123">
        <f>F116/T116*100</f>
        <v>94.402821865468951</v>
      </c>
      <c r="X116" s="121">
        <f>X47+X98</f>
        <v>2404570.8239999996</v>
      </c>
      <c r="Y116" s="122">
        <f>F116-X116</f>
        <v>377909.50600000052</v>
      </c>
      <c r="Z116" s="123">
        <f>F116/X116*100</f>
        <v>115.71629757078017</v>
      </c>
    </row>
    <row r="117" spans="1:27" s="124" customFormat="1" ht="23.25" hidden="1" x14ac:dyDescent="0.3">
      <c r="A117" s="126"/>
      <c r="B117" s="127"/>
      <c r="C117" s="120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3"/>
      <c r="Q117" s="121"/>
      <c r="R117" s="122"/>
      <c r="S117" s="123"/>
      <c r="T117" s="121"/>
      <c r="U117" s="122"/>
      <c r="V117" s="123"/>
      <c r="X117" s="121"/>
      <c r="Y117" s="122"/>
      <c r="Z117" s="123"/>
    </row>
    <row r="118" spans="1:27" s="124" customFormat="1" ht="69.75" hidden="1" x14ac:dyDescent="0.3">
      <c r="A118" s="126"/>
      <c r="B118" s="119" t="s">
        <v>160</v>
      </c>
      <c r="C118" s="120"/>
      <c r="D118" s="121">
        <f>D47+D100</f>
        <v>3850068.2889999994</v>
      </c>
      <c r="E118" s="121">
        <f>E47+E100</f>
        <v>3859493.2889999994</v>
      </c>
      <c r="F118" s="121">
        <f t="shared" si="116"/>
        <v>2711139.2620000001</v>
      </c>
      <c r="G118" s="121">
        <f t="shared" ref="G118:Q118" si="118">G47+G100</f>
        <v>246487.71399999995</v>
      </c>
      <c r="H118" s="121">
        <f t="shared" si="118"/>
        <v>307564.62900000007</v>
      </c>
      <c r="I118" s="121">
        <f t="shared" si="118"/>
        <v>288022.85600000003</v>
      </c>
      <c r="J118" s="121">
        <f t="shared" si="118"/>
        <v>316127.71100000001</v>
      </c>
      <c r="K118" s="121">
        <f t="shared" si="118"/>
        <v>314079.65799999994</v>
      </c>
      <c r="L118" s="121">
        <f t="shared" si="118"/>
        <v>309593.13999999996</v>
      </c>
      <c r="M118" s="121">
        <f t="shared" si="118"/>
        <v>328244.78700000007</v>
      </c>
      <c r="N118" s="121">
        <f t="shared" si="118"/>
        <v>322892.03700000001</v>
      </c>
      <c r="O118" s="121">
        <f t="shared" si="118"/>
        <v>278126.73</v>
      </c>
      <c r="P118" s="123">
        <f>F118/E118*100</f>
        <v>70.245989796822798</v>
      </c>
      <c r="Q118" s="121">
        <f t="shared" si="118"/>
        <v>2551190.7729999996</v>
      </c>
      <c r="R118" s="122">
        <f>F118-Q118</f>
        <v>159948.48900000053</v>
      </c>
      <c r="S118" s="123">
        <f>F118/Q118*100</f>
        <v>106.26956206853609</v>
      </c>
      <c r="T118" s="121">
        <f>T47+T100</f>
        <v>2894619.9667499992</v>
      </c>
      <c r="U118" s="122">
        <f>F118-T118</f>
        <v>-183480.7047499991</v>
      </c>
      <c r="V118" s="123">
        <f>F118/T118*100</f>
        <v>93.661319729097073</v>
      </c>
      <c r="X118" s="121">
        <f>X47+X100</f>
        <v>2355168.8969999994</v>
      </c>
      <c r="Y118" s="122">
        <f>F118-X118</f>
        <v>355970.36500000069</v>
      </c>
      <c r="Z118" s="123">
        <f>F118/X118*100</f>
        <v>115.11443045352007</v>
      </c>
    </row>
    <row r="119" spans="1:27" s="24" customFormat="1" ht="22.5" hidden="1" x14ac:dyDescent="0.3">
      <c r="A119" s="177"/>
      <c r="B119" s="14"/>
      <c r="C119" s="19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72"/>
      <c r="Q119" s="146"/>
      <c r="R119" s="71"/>
      <c r="S119" s="72"/>
      <c r="T119" s="146"/>
      <c r="U119" s="71"/>
      <c r="V119" s="72"/>
      <c r="X119" s="146"/>
      <c r="Y119" s="71"/>
      <c r="Z119" s="72"/>
    </row>
    <row r="120" spans="1:27" s="24" customFormat="1" ht="60.75" hidden="1" x14ac:dyDescent="0.3">
      <c r="A120" s="177"/>
      <c r="B120" s="178" t="s">
        <v>161</v>
      </c>
      <c r="C120" s="19"/>
      <c r="D120" s="170">
        <f>D118+D49+D50+D122</f>
        <v>4802153.1889999993</v>
      </c>
      <c r="E120" s="170">
        <f>E118+E49+E50+E122</f>
        <v>4811578.1889999993</v>
      </c>
      <c r="F120" s="170">
        <f t="shared" si="116"/>
        <v>3414969.7619999996</v>
      </c>
      <c r="G120" s="170">
        <f t="shared" ref="G120:Q120" si="119">G118+G49+G50+G122</f>
        <v>310815.51399999997</v>
      </c>
      <c r="H120" s="170">
        <f t="shared" si="119"/>
        <v>379400.92900000006</v>
      </c>
      <c r="I120" s="170">
        <f t="shared" si="119"/>
        <v>362027.15600000002</v>
      </c>
      <c r="J120" s="170">
        <f t="shared" si="119"/>
        <v>390854.61100000003</v>
      </c>
      <c r="K120" s="170">
        <f t="shared" si="119"/>
        <v>404704.95799999993</v>
      </c>
      <c r="L120" s="170">
        <f t="shared" si="119"/>
        <v>466478.24</v>
      </c>
      <c r="M120" s="170">
        <f t="shared" si="119"/>
        <v>372620.38700000005</v>
      </c>
      <c r="N120" s="170">
        <f t="shared" si="119"/>
        <v>370880.93700000003</v>
      </c>
      <c r="O120" s="170">
        <f t="shared" si="119"/>
        <v>357187.02999999997</v>
      </c>
      <c r="P120" s="129">
        <f>F120/E120*100</f>
        <v>70.974005364957819</v>
      </c>
      <c r="Q120" s="170">
        <f t="shared" si="119"/>
        <v>3255021.2729999996</v>
      </c>
      <c r="R120" s="128">
        <f>F120-Q120</f>
        <v>159948.48900000006</v>
      </c>
      <c r="S120" s="129">
        <f>F120/Q120*100</f>
        <v>104.91389995901879</v>
      </c>
      <c r="T120" s="170">
        <f>T118+T49+T50+T122</f>
        <v>3598450.4667499992</v>
      </c>
      <c r="U120" s="128">
        <f>F120-T120</f>
        <v>-183480.70474999957</v>
      </c>
      <c r="V120" s="129">
        <f>F120/T120*100</f>
        <v>94.901119066515506</v>
      </c>
      <c r="X120" s="170">
        <f>X118+X49+X50+X122</f>
        <v>2711509.4969999995</v>
      </c>
      <c r="Y120" s="128">
        <f>F120-X120</f>
        <v>703460.26500000013</v>
      </c>
      <c r="Z120" s="129">
        <f>F120/X120*100</f>
        <v>125.9434925740922</v>
      </c>
      <c r="AA120" s="46"/>
    </row>
    <row r="121" spans="1:27" s="24" customFormat="1" ht="22.5" hidden="1" x14ac:dyDescent="0.3">
      <c r="A121" s="177"/>
      <c r="B121" s="14"/>
      <c r="C121" s="19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72"/>
      <c r="Q121" s="146"/>
      <c r="R121" s="71"/>
      <c r="S121" s="72"/>
      <c r="T121" s="146"/>
      <c r="U121" s="71"/>
      <c r="V121" s="72"/>
      <c r="X121" s="146"/>
      <c r="Y121" s="71"/>
      <c r="Z121" s="72"/>
    </row>
    <row r="122" spans="1:27" s="24" customFormat="1" ht="30" hidden="1" customHeight="1" x14ac:dyDescent="0.3">
      <c r="A122" s="177"/>
      <c r="B122" s="178" t="s">
        <v>72</v>
      </c>
      <c r="C122" s="19"/>
      <c r="D122" s="170">
        <v>234281.5</v>
      </c>
      <c r="E122" s="170">
        <v>234281.5</v>
      </c>
      <c r="F122" s="170">
        <f t="shared" si="116"/>
        <v>175711.5</v>
      </c>
      <c r="G122" s="170">
        <v>19523.5</v>
      </c>
      <c r="H122" s="170">
        <v>19523.5</v>
      </c>
      <c r="I122" s="170">
        <v>19523.5</v>
      </c>
      <c r="J122" s="170">
        <v>19523.5</v>
      </c>
      <c r="K122" s="170">
        <v>19523.5</v>
      </c>
      <c r="L122" s="170">
        <v>19523.5</v>
      </c>
      <c r="M122" s="170">
        <v>19523.5</v>
      </c>
      <c r="N122" s="170">
        <v>19523.5</v>
      </c>
      <c r="O122" s="170">
        <v>19523.5</v>
      </c>
      <c r="P122" s="129">
        <f>F122/E122*100</f>
        <v>75.000160063854807</v>
      </c>
      <c r="Q122" s="170">
        <f>F122</f>
        <v>175711.5</v>
      </c>
      <c r="R122" s="128">
        <f>F122-Q122</f>
        <v>0</v>
      </c>
      <c r="S122" s="129">
        <f>F122/Q122*100</f>
        <v>100</v>
      </c>
      <c r="T122" s="170">
        <f>Q122</f>
        <v>175711.5</v>
      </c>
      <c r="U122" s="128">
        <f>F122-T122</f>
        <v>0</v>
      </c>
      <c r="V122" s="129">
        <f>F122/T122*100</f>
        <v>100</v>
      </c>
      <c r="X122" s="170">
        <v>-136212.29999999999</v>
      </c>
      <c r="Y122" s="128">
        <f>F122-X122</f>
        <v>311923.8</v>
      </c>
      <c r="Z122" s="129">
        <f>F122/X122*100</f>
        <v>-128.99826227146889</v>
      </c>
    </row>
    <row r="123" spans="1:27" s="24" customFormat="1" ht="22.5" x14ac:dyDescent="0.3">
      <c r="A123" s="10"/>
      <c r="B123" s="14"/>
      <c r="C123" s="19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72"/>
      <c r="Q123" s="146"/>
      <c r="R123" s="71"/>
      <c r="S123" s="72"/>
      <c r="T123" s="146"/>
      <c r="U123" s="71"/>
      <c r="V123" s="72"/>
      <c r="X123" s="146"/>
      <c r="Y123" s="71"/>
      <c r="Z123" s="72"/>
    </row>
    <row r="124" spans="1:27" s="42" customFormat="1" ht="22.5" x14ac:dyDescent="0.3">
      <c r="A124" s="39"/>
      <c r="B124" s="43" t="s">
        <v>28</v>
      </c>
      <c r="C124" s="41"/>
      <c r="D124" s="146">
        <f>D75+D108</f>
        <v>864542.80200000003</v>
      </c>
      <c r="E124" s="146">
        <f>E75+E108</f>
        <v>969561.86400000006</v>
      </c>
      <c r="F124" s="146">
        <f t="shared" si="116"/>
        <v>623152.24199999985</v>
      </c>
      <c r="G124" s="146">
        <f t="shared" ref="G124:Q124" si="120">G75+G108</f>
        <v>46907.102000000006</v>
      </c>
      <c r="H124" s="146">
        <f t="shared" si="120"/>
        <v>54592.909</v>
      </c>
      <c r="I124" s="146">
        <f t="shared" si="120"/>
        <v>58734.604000000007</v>
      </c>
      <c r="J124" s="146">
        <f t="shared" si="120"/>
        <v>57797.366999999998</v>
      </c>
      <c r="K124" s="146">
        <f t="shared" ref="K124:N124" si="121">K75+K108</f>
        <v>81686.313000000009</v>
      </c>
      <c r="L124" s="146">
        <f t="shared" si="121"/>
        <v>145334.226</v>
      </c>
      <c r="M124" s="146">
        <f t="shared" si="121"/>
        <v>28903.632999999998</v>
      </c>
      <c r="N124" s="146">
        <f t="shared" si="121"/>
        <v>53965.145000000004</v>
      </c>
      <c r="O124" s="146">
        <f t="shared" si="120"/>
        <v>95230.942999999999</v>
      </c>
      <c r="P124" s="72">
        <f>F124/E124*100</f>
        <v>64.271529763881034</v>
      </c>
      <c r="Q124" s="146">
        <f t="shared" si="120"/>
        <v>771764.15</v>
      </c>
      <c r="R124" s="71">
        <f>F124-Q124</f>
        <v>-148611.90800000017</v>
      </c>
      <c r="S124" s="72">
        <f>F124/Q124*100</f>
        <v>80.7438700022539</v>
      </c>
      <c r="T124" s="146">
        <f>T75+T108</f>
        <v>690537.01199999999</v>
      </c>
      <c r="U124" s="71">
        <f>F124-T124</f>
        <v>-67384.770000000135</v>
      </c>
      <c r="V124" s="72">
        <f>F124/T124*100</f>
        <v>90.241685988006083</v>
      </c>
      <c r="X124" s="146">
        <f>X75+X108</f>
        <v>635147.11</v>
      </c>
      <c r="Y124" s="71">
        <f>F124-X124</f>
        <v>-11994.868000000133</v>
      </c>
      <c r="Z124" s="72">
        <f>F124/X124*100</f>
        <v>98.111481921093812</v>
      </c>
    </row>
    <row r="125" spans="1:27" s="42" customFormat="1" ht="22.5" x14ac:dyDescent="0.3">
      <c r="A125" s="130"/>
      <c r="B125" s="43" t="s">
        <v>76</v>
      </c>
      <c r="C125" s="41"/>
      <c r="D125" s="146">
        <f t="shared" ref="D125:E125" si="122">D126+D127</f>
        <v>864542.80200000003</v>
      </c>
      <c r="E125" s="146">
        <f t="shared" si="122"/>
        <v>969561.86400000006</v>
      </c>
      <c r="F125" s="146">
        <f t="shared" si="116"/>
        <v>623152.24199999985</v>
      </c>
      <c r="G125" s="146">
        <f t="shared" ref="G125:Q125" si="123">G126+G127</f>
        <v>46907.102000000006</v>
      </c>
      <c r="H125" s="146">
        <f t="shared" ref="H125" si="124">H126+H127</f>
        <v>54592.909</v>
      </c>
      <c r="I125" s="146">
        <f t="shared" ref="I125:O125" si="125">I126+I127</f>
        <v>58734.604000000007</v>
      </c>
      <c r="J125" s="146">
        <f t="shared" ref="J125:N125" si="126">J126+J127</f>
        <v>57797.366999999998</v>
      </c>
      <c r="K125" s="146">
        <f t="shared" si="126"/>
        <v>81686.313000000009</v>
      </c>
      <c r="L125" s="146">
        <f t="shared" si="126"/>
        <v>145334.226</v>
      </c>
      <c r="M125" s="146">
        <f t="shared" si="126"/>
        <v>28903.632999999998</v>
      </c>
      <c r="N125" s="146">
        <f t="shared" si="126"/>
        <v>53965.145000000004</v>
      </c>
      <c r="O125" s="146">
        <f t="shared" si="125"/>
        <v>95230.942999999999</v>
      </c>
      <c r="P125" s="72">
        <f>F125/E125*100</f>
        <v>64.271529763881034</v>
      </c>
      <c r="Q125" s="146">
        <f t="shared" si="123"/>
        <v>771764.15</v>
      </c>
      <c r="R125" s="71">
        <f>F125-Q125</f>
        <v>-148611.90800000017</v>
      </c>
      <c r="S125" s="72">
        <f>F125/Q125*100</f>
        <v>80.7438700022539</v>
      </c>
      <c r="T125" s="146">
        <f t="shared" ref="T125" si="127">T126+T127</f>
        <v>690537.01199999999</v>
      </c>
      <c r="U125" s="71">
        <f>F125-T125</f>
        <v>-67384.770000000135</v>
      </c>
      <c r="V125" s="72">
        <f>F125/T125*100</f>
        <v>90.241685988006083</v>
      </c>
      <c r="X125" s="146">
        <f t="shared" ref="X125" si="128">X126+X127</f>
        <v>622936.30999999994</v>
      </c>
      <c r="Y125" s="71">
        <f>F125-X125</f>
        <v>215.93199999991339</v>
      </c>
      <c r="Z125" s="72">
        <f>F125/X125*100</f>
        <v>100.03466357579957</v>
      </c>
    </row>
    <row r="126" spans="1:27" s="133" customFormat="1" ht="23.25" x14ac:dyDescent="0.35">
      <c r="A126" s="131"/>
      <c r="B126" s="132" t="s">
        <v>111</v>
      </c>
      <c r="C126" s="132"/>
      <c r="D126" s="161">
        <f>D79+D109</f>
        <v>838223.4</v>
      </c>
      <c r="E126" s="161">
        <f>E79+E109</f>
        <v>851352.20000000007</v>
      </c>
      <c r="F126" s="161">
        <f t="shared" si="116"/>
        <v>544942.80000000005</v>
      </c>
      <c r="G126" s="161">
        <f t="shared" ref="G126:Q126" si="129">G79+G109</f>
        <v>44804.3</v>
      </c>
      <c r="H126" s="161">
        <f t="shared" si="129"/>
        <v>52312.800000000003</v>
      </c>
      <c r="I126" s="161">
        <f t="shared" si="129"/>
        <v>56011.100000000006</v>
      </c>
      <c r="J126" s="161">
        <f t="shared" si="129"/>
        <v>55203.4</v>
      </c>
      <c r="K126" s="161">
        <f t="shared" ref="K126:N126" si="130">K79+K109</f>
        <v>76945.8</v>
      </c>
      <c r="L126" s="161">
        <f t="shared" si="130"/>
        <v>139119.6</v>
      </c>
      <c r="M126" s="161">
        <f t="shared" si="130"/>
        <v>26610.1</v>
      </c>
      <c r="N126" s="161">
        <f t="shared" si="130"/>
        <v>30223.4</v>
      </c>
      <c r="O126" s="161">
        <f t="shared" si="129"/>
        <v>63712.3</v>
      </c>
      <c r="P126" s="159">
        <f>F126/E126*100</f>
        <v>64.009090479827265</v>
      </c>
      <c r="Q126" s="161">
        <f t="shared" si="129"/>
        <v>659322</v>
      </c>
      <c r="R126" s="98">
        <f>F126-Q126</f>
        <v>-114379.19999999995</v>
      </c>
      <c r="S126" s="159">
        <f>F126/Q126*100</f>
        <v>82.651997051516574</v>
      </c>
      <c r="T126" s="161">
        <f>T79+T109</f>
        <v>658539</v>
      </c>
      <c r="U126" s="98">
        <f>F126-T126</f>
        <v>-113596.19999999995</v>
      </c>
      <c r="V126" s="159">
        <f>F126/T126*100</f>
        <v>82.750269915676995</v>
      </c>
      <c r="X126" s="161">
        <f>X79+X109</f>
        <v>553244.77099999995</v>
      </c>
      <c r="Y126" s="98">
        <f>F126-X126</f>
        <v>-8301.9709999999031</v>
      </c>
      <c r="Z126" s="159">
        <f>F126/X126*100</f>
        <v>98.499403621114396</v>
      </c>
    </row>
    <row r="127" spans="1:27" s="133" customFormat="1" ht="23.25" x14ac:dyDescent="0.35">
      <c r="A127" s="131"/>
      <c r="B127" s="132" t="s">
        <v>110</v>
      </c>
      <c r="C127" s="132"/>
      <c r="D127" s="161">
        <f>D110+D80</f>
        <v>26319.402000000002</v>
      </c>
      <c r="E127" s="161">
        <f>E110+E80</f>
        <v>118209.66399999999</v>
      </c>
      <c r="F127" s="161">
        <f t="shared" si="116"/>
        <v>78209.441999999995</v>
      </c>
      <c r="G127" s="161">
        <f t="shared" ref="G127:Q127" si="131">G110+G80</f>
        <v>2102.8020000000001</v>
      </c>
      <c r="H127" s="161">
        <f t="shared" si="131"/>
        <v>2280.1089999999999</v>
      </c>
      <c r="I127" s="161">
        <f t="shared" si="131"/>
        <v>2723.5039999999999</v>
      </c>
      <c r="J127" s="161">
        <f t="shared" si="131"/>
        <v>2593.9670000000001</v>
      </c>
      <c r="K127" s="161">
        <f t="shared" ref="K127:N127" si="132">K110+K80</f>
        <v>4740.5129999999999</v>
      </c>
      <c r="L127" s="161">
        <f t="shared" si="132"/>
        <v>6214.6260000000002</v>
      </c>
      <c r="M127" s="161">
        <f t="shared" si="132"/>
        <v>2293.5329999999999</v>
      </c>
      <c r="N127" s="161">
        <f t="shared" si="132"/>
        <v>23741.745000000003</v>
      </c>
      <c r="O127" s="161">
        <f t="shared" si="131"/>
        <v>31518.643</v>
      </c>
      <c r="P127" s="159">
        <f>F127/E127*100</f>
        <v>66.161631252077669</v>
      </c>
      <c r="Q127" s="161">
        <f t="shared" si="131"/>
        <v>112442.15</v>
      </c>
      <c r="R127" s="98">
        <f>F127-Q127</f>
        <v>-34232.707999999999</v>
      </c>
      <c r="S127" s="159">
        <f>F127/Q127*100</f>
        <v>69.555270865951954</v>
      </c>
      <c r="T127" s="161">
        <f>T110+T80</f>
        <v>31998.011999999999</v>
      </c>
      <c r="U127" s="98">
        <f>F127-T127</f>
        <v>46211.429999999993</v>
      </c>
      <c r="V127" s="159">
        <f>F127/T127*100</f>
        <v>244.41969082329237</v>
      </c>
      <c r="X127" s="161">
        <f>X110+X80</f>
        <v>69691.539000000004</v>
      </c>
      <c r="Y127" s="98">
        <f>F127-X127</f>
        <v>8517.9029999999912</v>
      </c>
      <c r="Z127" s="159">
        <f>F127/X127*100</f>
        <v>112.22229143196276</v>
      </c>
    </row>
    <row r="128" spans="1:27" s="6" customFormat="1" ht="23.25" x14ac:dyDescent="0.25">
      <c r="A128" s="20"/>
      <c r="B128" s="34"/>
      <c r="C128" s="15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59"/>
      <c r="Q128" s="161"/>
      <c r="R128" s="98"/>
      <c r="S128" s="159"/>
      <c r="T128" s="161"/>
      <c r="U128" s="98"/>
      <c r="V128" s="159"/>
      <c r="X128" s="161"/>
      <c r="Y128" s="98"/>
      <c r="Z128" s="159"/>
    </row>
    <row r="129" spans="1:28" s="116" customFormat="1" ht="46.5" x14ac:dyDescent="0.3">
      <c r="A129" s="125"/>
      <c r="B129" s="110" t="s">
        <v>152</v>
      </c>
      <c r="C129" s="117"/>
      <c r="D129" s="112">
        <f>D116+D124</f>
        <v>4785057.2889999999</v>
      </c>
      <c r="E129" s="112">
        <f>E116+E124</f>
        <v>4899501.3509999998</v>
      </c>
      <c r="F129" s="112">
        <f t="shared" si="116"/>
        <v>3405632.5720000006</v>
      </c>
      <c r="G129" s="112">
        <f t="shared" ref="G129:Q129" si="133">G116+G124</f>
        <v>297255.12099999998</v>
      </c>
      <c r="H129" s="112">
        <f t="shared" si="133"/>
        <v>370917.83400000003</v>
      </c>
      <c r="I129" s="112">
        <f t="shared" si="133"/>
        <v>352606.239</v>
      </c>
      <c r="J129" s="112">
        <f t="shared" si="133"/>
        <v>379616.53399999999</v>
      </c>
      <c r="K129" s="112">
        <f t="shared" ref="K129:N129" si="134">K116+K124</f>
        <v>400975.80300000001</v>
      </c>
      <c r="L129" s="112">
        <f t="shared" si="134"/>
        <v>459409.76799999992</v>
      </c>
      <c r="M129" s="112">
        <f t="shared" si="134"/>
        <v>359984.35000000003</v>
      </c>
      <c r="N129" s="112">
        <f t="shared" si="134"/>
        <v>381984.45300000004</v>
      </c>
      <c r="O129" s="112">
        <f t="shared" si="133"/>
        <v>402882.47</v>
      </c>
      <c r="P129" s="114">
        <f>F129/E129*100</f>
        <v>69.509779220795664</v>
      </c>
      <c r="Q129" s="112">
        <f t="shared" si="133"/>
        <v>3375789.5719999997</v>
      </c>
      <c r="R129" s="113">
        <f>F129-Q129</f>
        <v>29843.000000000931</v>
      </c>
      <c r="S129" s="114">
        <f>F129/Q129*100</f>
        <v>100.88403022058985</v>
      </c>
      <c r="T129" s="112">
        <f>T112+T82</f>
        <v>3637991.6272499994</v>
      </c>
      <c r="U129" s="113">
        <f>F129-T129</f>
        <v>-232359.05524999881</v>
      </c>
      <c r="V129" s="114">
        <f>F129/T129*100</f>
        <v>93.612985431040102</v>
      </c>
      <c r="X129" s="112">
        <f>X112+X82</f>
        <v>3039717.9339999994</v>
      </c>
      <c r="Y129" s="113">
        <f>F129-X129</f>
        <v>365914.6380000012</v>
      </c>
      <c r="Z129" s="114">
        <f>F129/X129*100</f>
        <v>112.03778264776329</v>
      </c>
      <c r="AA129" s="112">
        <v>3039717.9339999999</v>
      </c>
      <c r="AB129" s="112">
        <f>AA129-X129</f>
        <v>0</v>
      </c>
    </row>
    <row r="130" spans="1:28" s="42" customFormat="1" ht="22.5" hidden="1" x14ac:dyDescent="0.3">
      <c r="A130" s="44"/>
      <c r="B130" s="40"/>
      <c r="C130" s="41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72"/>
      <c r="Q130" s="185"/>
      <c r="R130" s="71"/>
      <c r="S130" s="72"/>
      <c r="T130" s="146"/>
      <c r="U130" s="71"/>
      <c r="V130" s="72"/>
      <c r="X130" s="185"/>
      <c r="Y130" s="71"/>
      <c r="Z130" s="72"/>
    </row>
    <row r="131" spans="1:28" s="42" customFormat="1" ht="87" hidden="1" x14ac:dyDescent="0.3">
      <c r="A131" s="44"/>
      <c r="B131" s="95" t="s">
        <v>77</v>
      </c>
      <c r="C131" s="41"/>
      <c r="D131" s="146">
        <f>D82+D114</f>
        <v>4714611.091</v>
      </c>
      <c r="E131" s="146">
        <f t="shared" si="77"/>
        <v>4714611.091</v>
      </c>
      <c r="F131" s="146">
        <f t="shared" si="116"/>
        <v>3334291.5039999997</v>
      </c>
      <c r="G131" s="146">
        <f>G82+G114</f>
        <v>293394.81599999999</v>
      </c>
      <c r="H131" s="146">
        <f>H82+H114</f>
        <v>362157.53800000006</v>
      </c>
      <c r="I131" s="146">
        <f>I82+I114</f>
        <v>346757.46</v>
      </c>
      <c r="J131" s="146">
        <f>J82+J114</f>
        <v>373925.07799999998</v>
      </c>
      <c r="K131" s="146">
        <f t="shared" ref="K131" si="135">K82+K114</f>
        <v>395765.97099999996</v>
      </c>
      <c r="L131" s="146">
        <f>L82+L114</f>
        <v>454927.36599999998</v>
      </c>
      <c r="M131" s="146">
        <f>M82+M114</f>
        <v>357148.42000000004</v>
      </c>
      <c r="N131" s="146">
        <f>N82+N114</f>
        <v>376857.18200000003</v>
      </c>
      <c r="O131" s="146">
        <f>O82+O114</f>
        <v>373357.67299999995</v>
      </c>
      <c r="P131" s="72">
        <f>F131/E131*100</f>
        <v>70.722514320746967</v>
      </c>
      <c r="Q131" s="146">
        <f>Q82+Q114</f>
        <v>3322954.9229999995</v>
      </c>
      <c r="R131" s="71">
        <f>F131-Q131</f>
        <v>11336.581000000238</v>
      </c>
      <c r="S131" s="72">
        <f>F131/Q131*100</f>
        <v>100.34115963841499</v>
      </c>
      <c r="T131" s="146">
        <f>T82+T114</f>
        <v>3585156.9787499993</v>
      </c>
      <c r="U131" s="71">
        <f>F131-T131</f>
        <v>-250865.47474999959</v>
      </c>
      <c r="V131" s="72">
        <f>F131/T131*100</f>
        <v>93.002664144500969</v>
      </c>
      <c r="X131" s="146">
        <f>X82+X114</f>
        <v>2990316.0069999998</v>
      </c>
      <c r="Y131" s="71">
        <f>F131-X131</f>
        <v>343975.49699999997</v>
      </c>
      <c r="Z131" s="72">
        <f>F131/X131*100</f>
        <v>111.50298149743342</v>
      </c>
    </row>
    <row r="132" spans="1:28" s="13" customFormat="1" ht="24" hidden="1" customHeight="1" x14ac:dyDescent="0.3">
      <c r="A132" s="28"/>
      <c r="B132" s="29"/>
      <c r="C132" s="30"/>
      <c r="D132" s="30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75"/>
      <c r="Q132" s="171"/>
      <c r="R132" s="74"/>
      <c r="S132" s="75"/>
      <c r="T132" s="171"/>
      <c r="U132" s="74"/>
      <c r="V132" s="75"/>
      <c r="X132" s="171"/>
      <c r="Y132" s="74"/>
      <c r="Z132" s="75"/>
    </row>
    <row r="133" spans="1:28" s="13" customFormat="1" ht="30" hidden="1" x14ac:dyDescent="0.4">
      <c r="A133" s="28"/>
      <c r="B133" s="144" t="s">
        <v>98</v>
      </c>
      <c r="C133" s="144"/>
      <c r="D133" s="144"/>
      <c r="E133" s="144"/>
      <c r="F133" s="144" t="s">
        <v>99</v>
      </c>
      <c r="G133" s="144"/>
      <c r="H133" s="144"/>
      <c r="I133" s="144"/>
      <c r="J133" s="144"/>
      <c r="K133" s="144"/>
      <c r="L133" s="144"/>
      <c r="M133" s="144"/>
      <c r="N133" s="144"/>
      <c r="O133" s="144"/>
      <c r="P133" s="75"/>
      <c r="Q133" s="171"/>
      <c r="R133" s="74"/>
      <c r="S133" s="75"/>
      <c r="T133" s="171"/>
      <c r="U133" s="74"/>
      <c r="V133" s="75"/>
      <c r="X133" s="144"/>
      <c r="Y133" s="74"/>
      <c r="Z133" s="75"/>
    </row>
    <row r="134" spans="1:28" s="6" customFormat="1" ht="30.75" hidden="1" x14ac:dyDescent="0.45">
      <c r="A134" s="4"/>
      <c r="B134" s="23" t="s">
        <v>52</v>
      </c>
      <c r="C134" s="16"/>
      <c r="D134" s="16"/>
      <c r="E134" s="16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77"/>
      <c r="Q134" s="5"/>
      <c r="R134" s="76"/>
      <c r="S134" s="77"/>
      <c r="T134" s="5"/>
      <c r="U134" s="76"/>
      <c r="V134" s="77"/>
      <c r="X134" s="172"/>
      <c r="Y134" s="76"/>
      <c r="Z134" s="77"/>
    </row>
    <row r="135" spans="1:28" s="6" customFormat="1" ht="30.75" hidden="1" x14ac:dyDescent="0.45">
      <c r="A135" s="4"/>
      <c r="B135" s="16"/>
      <c r="C135" s="16"/>
      <c r="D135" s="16"/>
      <c r="E135" s="10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77"/>
      <c r="Q135" s="5"/>
      <c r="R135" s="76"/>
      <c r="S135" s="77"/>
      <c r="T135" s="5"/>
      <c r="U135" s="76"/>
      <c r="V135" s="77"/>
      <c r="X135" s="172"/>
      <c r="Y135" s="76"/>
      <c r="Z135" s="77"/>
    </row>
    <row r="136" spans="1:28" s="2" customFormat="1" ht="30.75" hidden="1" x14ac:dyDescent="0.45">
      <c r="A136" s="21"/>
      <c r="B136" s="16"/>
      <c r="C136" s="16"/>
      <c r="D136" s="153">
        <v>4785057.2889999999</v>
      </c>
      <c r="E136" s="153">
        <v>4899501.3509999998</v>
      </c>
      <c r="F136" s="153">
        <v>3405632.5720000002</v>
      </c>
      <c r="G136" s="153">
        <v>297255.12099999998</v>
      </c>
      <c r="H136" s="153">
        <v>370917.83299999998</v>
      </c>
      <c r="I136" s="153">
        <v>352606.24</v>
      </c>
      <c r="J136" s="153">
        <v>379616.53399999999</v>
      </c>
      <c r="K136" s="153">
        <v>400975.80300000001</v>
      </c>
      <c r="L136" s="153">
        <v>459409.76799999998</v>
      </c>
      <c r="M136" s="153">
        <v>359984.35</v>
      </c>
      <c r="N136" s="153">
        <v>381984.45199999999</v>
      </c>
      <c r="O136" s="153">
        <v>402882.47</v>
      </c>
      <c r="P136" s="3"/>
      <c r="Q136" s="153">
        <v>3375789.5720000002</v>
      </c>
      <c r="R136" s="3"/>
      <c r="S136" s="3"/>
      <c r="T136" s="144"/>
      <c r="U136" s="3"/>
      <c r="V136" s="3"/>
      <c r="X136" s="153"/>
      <c r="Y136" s="3"/>
    </row>
    <row r="137" spans="1:28" ht="30.75" hidden="1" x14ac:dyDescent="0.45">
      <c r="B137" s="23"/>
      <c r="C137" s="172"/>
      <c r="D137" s="172"/>
      <c r="E137" s="172"/>
      <c r="F137" s="172"/>
      <c r="X137" s="172"/>
    </row>
    <row r="138" spans="1:28" s="173" customFormat="1" ht="30.75" hidden="1" x14ac:dyDescent="0.45">
      <c r="A138" s="22"/>
      <c r="B138" s="16"/>
      <c r="C138" s="16"/>
      <c r="D138" s="16"/>
      <c r="E138" s="16"/>
      <c r="F138" s="172"/>
      <c r="P138" s="176"/>
      <c r="R138" s="176"/>
      <c r="S138" s="176"/>
      <c r="T138" s="176"/>
      <c r="U138" s="176"/>
      <c r="V138" s="176"/>
      <c r="X138" s="172"/>
      <c r="Y138" s="176"/>
    </row>
    <row r="139" spans="1:28" s="173" customFormat="1" ht="30.75" hidden="1" x14ac:dyDescent="0.45">
      <c r="A139" s="22"/>
      <c r="B139" s="16"/>
      <c r="C139" s="16"/>
      <c r="D139" s="16"/>
      <c r="E139" s="16"/>
      <c r="F139" s="172"/>
      <c r="P139" s="176"/>
      <c r="R139" s="176"/>
      <c r="S139" s="176"/>
      <c r="T139" s="176"/>
      <c r="U139" s="176"/>
      <c r="V139" s="176"/>
      <c r="X139" s="172"/>
      <c r="Y139" s="176"/>
    </row>
    <row r="140" spans="1:28" s="173" customFormat="1" ht="30.75" hidden="1" x14ac:dyDescent="0.45">
      <c r="A140" s="22"/>
      <c r="B140" s="23"/>
      <c r="C140" s="172"/>
      <c r="D140" s="172"/>
      <c r="E140" s="172"/>
      <c r="F140" s="172"/>
      <c r="P140" s="176"/>
      <c r="R140" s="176"/>
      <c r="S140" s="176"/>
      <c r="T140" s="176"/>
      <c r="U140" s="176"/>
      <c r="V140" s="176"/>
      <c r="X140" s="172"/>
      <c r="Y140" s="176"/>
    </row>
    <row r="141" spans="1:28" ht="18.75" hidden="1" x14ac:dyDescent="0.3">
      <c r="B141" s="21"/>
      <c r="D141" s="153">
        <f>D136-D129</f>
        <v>0</v>
      </c>
      <c r="E141" s="153">
        <f t="shared" ref="E141:H141" si="136">E136-E129</f>
        <v>0</v>
      </c>
      <c r="F141" s="153">
        <f t="shared" si="136"/>
        <v>0</v>
      </c>
      <c r="G141" s="153">
        <f t="shared" si="136"/>
        <v>0</v>
      </c>
      <c r="H141" s="153">
        <f t="shared" si="136"/>
        <v>-1.0000000474974513E-3</v>
      </c>
      <c r="I141" s="153">
        <f t="shared" ref="I141:N141" si="137">I136-I129</f>
        <v>9.9999998928979039E-4</v>
      </c>
      <c r="J141" s="153">
        <f t="shared" si="137"/>
        <v>0</v>
      </c>
      <c r="K141" s="153">
        <f t="shared" si="137"/>
        <v>0</v>
      </c>
      <c r="L141" s="153">
        <f t="shared" si="137"/>
        <v>0</v>
      </c>
      <c r="M141" s="153">
        <f t="shared" si="137"/>
        <v>0</v>
      </c>
      <c r="N141" s="153">
        <f t="shared" si="137"/>
        <v>-1.0000000474974513E-3</v>
      </c>
      <c r="O141" s="153">
        <f>O136-O129</f>
        <v>0</v>
      </c>
      <c r="Q141" s="153">
        <f>Q136-Q129</f>
        <v>0</v>
      </c>
      <c r="R141" s="192" t="s">
        <v>49</v>
      </c>
      <c r="S141" s="192"/>
      <c r="T141" s="79">
        <f>E47/12*9</f>
        <v>2813716.0417499994</v>
      </c>
      <c r="X141" s="153"/>
    </row>
    <row r="142" spans="1:28" ht="18.75" hidden="1" x14ac:dyDescent="0.3">
      <c r="B142" s="21"/>
      <c r="Q142" s="94"/>
      <c r="R142" s="176"/>
      <c r="S142" s="176"/>
      <c r="T142" s="79">
        <f>T141-T47</f>
        <v>0</v>
      </c>
    </row>
    <row r="143" spans="1:28" ht="18.75" hidden="1" x14ac:dyDescent="0.3">
      <c r="B143" s="2"/>
      <c r="C143" s="168"/>
      <c r="D143" s="168"/>
      <c r="E143" s="93">
        <v>4809905.6789999995</v>
      </c>
      <c r="F143" s="93">
        <v>1801371.531</v>
      </c>
      <c r="R143" s="192" t="s">
        <v>50</v>
      </c>
      <c r="S143" s="192"/>
      <c r="T143" s="78">
        <f>E98/12*9</f>
        <v>133738.5735</v>
      </c>
      <c r="X143" s="93"/>
    </row>
    <row r="144" spans="1:28" ht="18.75" hidden="1" x14ac:dyDescent="0.3">
      <c r="B144" s="2"/>
      <c r="C144" s="168"/>
      <c r="D144" s="168"/>
      <c r="E144" s="93">
        <f>E143-E129</f>
        <v>-89595.672000000253</v>
      </c>
      <c r="F144" s="93">
        <f>F143-F129</f>
        <v>-1604261.0410000007</v>
      </c>
      <c r="R144" s="176"/>
      <c r="S144" s="176"/>
      <c r="T144" s="79">
        <f>T143-T98</f>
        <v>0</v>
      </c>
    </row>
    <row r="145" spans="2:51" ht="22.5" hidden="1" x14ac:dyDescent="0.3">
      <c r="B145" s="2"/>
      <c r="C145" s="168"/>
      <c r="D145" s="168"/>
      <c r="E145" s="103"/>
      <c r="F145" s="103"/>
      <c r="R145" s="192" t="s">
        <v>51</v>
      </c>
      <c r="S145" s="192"/>
      <c r="T145" s="79">
        <f>T143+T108</f>
        <v>254158.5735</v>
      </c>
      <c r="X145" s="103"/>
    </row>
    <row r="146" spans="2:51" ht="18.75" hidden="1" x14ac:dyDescent="0.3">
      <c r="B146" s="2"/>
      <c r="C146" s="168"/>
      <c r="D146" s="168"/>
      <c r="E146" s="168"/>
      <c r="R146" s="176"/>
      <c r="S146" s="176"/>
      <c r="T146" s="79">
        <f>T145-T112</f>
        <v>0</v>
      </c>
    </row>
    <row r="147" spans="2:51" ht="18.75" hidden="1" x14ac:dyDescent="0.3">
      <c r="B147" s="2"/>
      <c r="C147" s="168"/>
      <c r="D147" s="168"/>
      <c r="E147" s="168"/>
    </row>
    <row r="148" spans="2:51" ht="18.75" hidden="1" x14ac:dyDescent="0.3">
      <c r="B148" s="104"/>
      <c r="C148" s="168"/>
      <c r="D148" s="168"/>
      <c r="E148" s="168"/>
    </row>
    <row r="149" spans="2:51" ht="18.75" hidden="1" x14ac:dyDescent="0.3">
      <c r="B149" s="2"/>
      <c r="C149" s="168"/>
      <c r="D149" s="168"/>
      <c r="E149" s="168"/>
    </row>
    <row r="150" spans="2:51" s="17" customFormat="1" ht="18.75" hidden="1" x14ac:dyDescent="0.3">
      <c r="B150" s="2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"/>
      <c r="Q150" s="168"/>
      <c r="R150" s="1"/>
      <c r="S150" s="1"/>
      <c r="T150" s="1"/>
      <c r="U150" s="1"/>
      <c r="V150" s="1"/>
      <c r="X150" s="168"/>
      <c r="Y150" s="1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</row>
    <row r="151" spans="2:51" s="17" customFormat="1" ht="18.75" hidden="1" x14ac:dyDescent="0.3">
      <c r="B151" s="2"/>
      <c r="C151" s="168"/>
      <c r="D151" s="168"/>
      <c r="E151" s="93"/>
      <c r="F151" s="93"/>
      <c r="G151" s="168"/>
      <c r="H151" s="168"/>
      <c r="I151" s="168"/>
      <c r="J151" s="168"/>
      <c r="K151" s="168"/>
      <c r="L151" s="168"/>
      <c r="M151" s="168"/>
      <c r="N151" s="168"/>
      <c r="O151" s="168"/>
      <c r="P151" s="1"/>
      <c r="Q151" s="168"/>
      <c r="R151" s="1"/>
      <c r="S151" s="1"/>
      <c r="T151" s="1"/>
      <c r="U151" s="1"/>
      <c r="V151" s="1"/>
      <c r="X151" s="93"/>
      <c r="Y151" s="1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</row>
    <row r="152" spans="2:51" s="17" customFormat="1" ht="18.75" x14ac:dyDescent="0.3">
      <c r="B152" s="2"/>
      <c r="C152" s="168"/>
      <c r="D152" s="183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"/>
      <c r="Q152" s="168"/>
      <c r="R152" s="1"/>
      <c r="S152" s="1"/>
      <c r="T152" s="1"/>
      <c r="U152" s="1"/>
      <c r="V152" s="1"/>
      <c r="X152" s="168"/>
      <c r="Y152" s="1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</row>
    <row r="153" spans="2:51" s="17" customFormat="1" ht="18.75" x14ac:dyDescent="0.3">
      <c r="B153" s="2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"/>
      <c r="Q153" s="168"/>
      <c r="R153" s="1"/>
      <c r="S153" s="1"/>
      <c r="T153" s="1"/>
      <c r="U153" s="1"/>
      <c r="V153" s="1"/>
      <c r="X153" s="168"/>
      <c r="Y153" s="1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</row>
    <row r="154" spans="2:51" s="17" customFormat="1" ht="23.25" hidden="1" x14ac:dyDescent="0.3">
      <c r="B154" s="2"/>
      <c r="C154" s="168"/>
      <c r="D154" s="103"/>
      <c r="E154" s="112">
        <v>4899501.3509999998</v>
      </c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"/>
      <c r="Q154" s="168"/>
      <c r="R154" s="1"/>
      <c r="S154" s="1"/>
      <c r="T154" s="1"/>
      <c r="U154" s="1"/>
      <c r="V154" s="1"/>
      <c r="X154" s="168"/>
      <c r="Y154" s="1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</row>
    <row r="155" spans="2:51" s="17" customFormat="1" ht="18.75" x14ac:dyDescent="0.3">
      <c r="B155" s="2"/>
      <c r="C155" s="168"/>
      <c r="D155" s="168"/>
      <c r="E155" s="168"/>
      <c r="F155" s="93"/>
      <c r="G155" s="168"/>
      <c r="H155" s="168"/>
      <c r="I155" s="168"/>
      <c r="J155" s="168"/>
      <c r="K155" s="168"/>
      <c r="L155" s="168"/>
      <c r="M155" s="168"/>
      <c r="N155" s="168"/>
      <c r="O155" s="168"/>
      <c r="P155" s="1"/>
      <c r="Q155" s="168"/>
      <c r="R155" s="1"/>
      <c r="S155" s="1"/>
      <c r="T155" s="1"/>
      <c r="U155" s="1"/>
      <c r="V155" s="1"/>
      <c r="X155" s="93"/>
      <c r="Y155" s="1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</row>
    <row r="156" spans="2:51" s="17" customFormat="1" ht="18.75" x14ac:dyDescent="0.3">
      <c r="B156" s="2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"/>
      <c r="Q156" s="168"/>
      <c r="R156" s="1"/>
      <c r="S156" s="1"/>
      <c r="T156" s="1"/>
      <c r="U156" s="1"/>
      <c r="V156" s="1"/>
      <c r="X156" s="168"/>
      <c r="Y156" s="1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</row>
    <row r="157" spans="2:51" s="17" customFormat="1" ht="30" x14ac:dyDescent="0.4">
      <c r="B157" s="144" t="s">
        <v>235</v>
      </c>
      <c r="C157" s="144"/>
      <c r="D157" s="144"/>
      <c r="E157" s="144"/>
      <c r="F157" s="144" t="s">
        <v>233</v>
      </c>
      <c r="G157" s="144"/>
      <c r="H157" s="171"/>
      <c r="I157" s="74"/>
      <c r="J157" s="1"/>
      <c r="K157" s="1"/>
      <c r="L157" s="1"/>
      <c r="M157" s="75"/>
      <c r="N157" s="1"/>
      <c r="O157" s="1"/>
      <c r="P157" s="1"/>
      <c r="Q157" s="168"/>
      <c r="R157" s="1"/>
      <c r="S157" s="1"/>
      <c r="T157" s="1"/>
      <c r="U157" s="1"/>
      <c r="V157" s="1"/>
      <c r="X157" s="168"/>
      <c r="Y157" s="1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</row>
    <row r="158" spans="2:51" s="17" customFormat="1" ht="30.75" x14ac:dyDescent="0.45">
      <c r="B158" s="23" t="s">
        <v>52</v>
      </c>
      <c r="C158" s="16"/>
      <c r="D158" s="16"/>
      <c r="E158" s="16"/>
      <c r="F158" s="172"/>
      <c r="G158" s="172"/>
      <c r="H158" s="5"/>
      <c r="I158" s="76"/>
      <c r="J158" s="1"/>
      <c r="K158" s="1"/>
      <c r="L158" s="1"/>
      <c r="M158" s="77"/>
      <c r="N158" s="1"/>
      <c r="O158" s="1"/>
      <c r="P158" s="1"/>
      <c r="Q158" s="168"/>
      <c r="R158" s="1"/>
      <c r="S158" s="1"/>
      <c r="T158" s="1"/>
      <c r="U158" s="1"/>
      <c r="V158" s="1"/>
      <c r="X158" s="168"/>
      <c r="Y158" s="1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</row>
    <row r="159" spans="2:51" s="17" customFormat="1" ht="18.75" x14ac:dyDescent="0.3">
      <c r="B159" s="21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"/>
      <c r="Q159" s="168"/>
      <c r="R159" s="1"/>
      <c r="S159" s="1"/>
      <c r="T159" s="1"/>
      <c r="U159" s="1"/>
      <c r="V159" s="1"/>
      <c r="X159" s="168"/>
      <c r="Y159" s="1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</row>
  </sheetData>
  <mergeCells count="35">
    <mergeCell ref="O3:O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  <mergeCell ref="R143:S143"/>
    <mergeCell ref="R145:S145"/>
    <mergeCell ref="C19:C21"/>
    <mergeCell ref="A59:A61"/>
    <mergeCell ref="C59:C61"/>
    <mergeCell ref="A115:Z115"/>
    <mergeCell ref="A83:Z83"/>
    <mergeCell ref="A1:Z1"/>
    <mergeCell ref="R141:S141"/>
    <mergeCell ref="Z3:Z4"/>
    <mergeCell ref="Q3:Q4"/>
    <mergeCell ref="R3:R4"/>
    <mergeCell ref="S3:S4"/>
    <mergeCell ref="T3:T4"/>
    <mergeCell ref="U3:U4"/>
    <mergeCell ref="V3:V4"/>
    <mergeCell ref="P3:P4"/>
    <mergeCell ref="X3:X4"/>
    <mergeCell ref="Y3:Y4"/>
    <mergeCell ref="A3:A4"/>
    <mergeCell ref="N3:N4"/>
    <mergeCell ref="A6:Z6"/>
    <mergeCell ref="G3:G4"/>
  </mergeCells>
  <printOptions horizontalCentered="1"/>
  <pageMargins left="0.39370078740157483" right="0" top="0" bottom="0" header="0.23622047244094491" footer="0.11811023622047245"/>
  <pageSetup paperSize="8" scale="76" fitToHeight="10" orientation="landscape" horizontalDpi="300" verticalDpi="300" r:id="rId1"/>
  <headerFooter alignWithMargins="0"/>
  <rowBreaks count="1" manualBreakCount="1">
    <brk id="90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328EEC93ABA744A93A4C3D4B9286A9" ma:contentTypeVersion="0" ma:contentTypeDescription="Створення нового документа." ma:contentTypeScope="" ma:versionID="b071c5e85f7d1f4bbdf3bdb2335348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F0A45-8E38-4569-BE5E-48D056D81D47}"/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2021-10-07T05:29:22Z</cp:lastPrinted>
  <dcterms:created xsi:type="dcterms:W3CDTF">1996-10-08T23:32:33Z</dcterms:created>
  <dcterms:modified xsi:type="dcterms:W3CDTF">2021-10-07T05:38:57Z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0x01010079328EEC93ABA744A93A4C3D4B9286A9</vt:lpwstr>
  </property>
</Properties>
</file>